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hidePivotFieldList="1" defaultThemeVersion="124226"/>
  <workbookProtection workbookPassword="F972" lockStructure="1"/>
  <bookViews>
    <workbookView xWindow="0" yWindow="180" windowWidth="20490" windowHeight="7275" activeTab="1"/>
  </bookViews>
  <sheets>
    <sheet name="ISTRUZIONI" sheetId="25" r:id="rId1"/>
    <sheet name="INSERIMENTO" sheetId="7" r:id="rId2"/>
    <sheet name="ANTEPRIMA" sheetId="23" r:id="rId3"/>
    <sheet name="ELENCHI" sheetId="2" r:id="rId4"/>
    <sheet name="OUTPUT" sheetId="17" state="hidden" r:id="rId5"/>
    <sheet name="STRINGA" sheetId="9" state="hidden" r:id="rId6"/>
    <sheet name="descrittive_A" sheetId="18" state="hidden" r:id="rId7"/>
    <sheet name="descrittive_B" sheetId="19" state="hidden" r:id="rId8"/>
    <sheet name="IMPOSTAZIONI" sheetId="24" state="hidden" r:id="rId9"/>
  </sheets>
  <definedNames>
    <definedName name="ALLEGATO_A">ELENCHI!$F$21</definedName>
    <definedName name="ALLEGATO_B">ELENCHI!$L$21</definedName>
    <definedName name="ALLEGATO_C">ELENCHI!$Q$21</definedName>
    <definedName name="ALLEGATO_D">ELENCHI!$U$21</definedName>
    <definedName name="ALLEGATO_E">ELENCHI!$Y$21</definedName>
    <definedName name="ALLEGATO_F">ELENCHI!$AC$21</definedName>
    <definedName name="ASTERISCATE">ELENCHI!$BG$21</definedName>
    <definedName name="AUTORE">IMPOSTAZIONI!$B$6</definedName>
    <definedName name="AUTORE_V">IMPOSTAZIONI!$B$7</definedName>
    <definedName name="COMBUSTIBILE">ELENCHI!$Q$21</definedName>
    <definedName name="DIRETTIVE_CEE">ELENCHI!$BC$21</definedName>
    <definedName name="FRENI_SERVIZIO">ELENCHI!$U$21</definedName>
    <definedName name="INDICE">ELENCHI!$B$4</definedName>
    <definedName name="LUNGH" comment="Lunghezza in caratteri righe descrittive maschera">IMPOSTAZIONI!$B$10</definedName>
    <definedName name="M_SPAZI" comment="Riga di spazi lunga MAX_CAMPO">IMPOSTAZIONI!$B$18</definedName>
    <definedName name="M_ZERI" comment="Riga di zeri lunga quanto il valore di LUNGH">IMPOSTAZIONI!$B$17</definedName>
    <definedName name="MAX_CAMPO" comment="Campo di compilazione maschera di massima lunghezza">IMPOSTAZIONI!$B$16</definedName>
    <definedName name="NAZIONALITA">ELENCHI!$AL$21</definedName>
    <definedName name="NOME">IMPOSTAZIONI!$B$4</definedName>
    <definedName name="NUMRD">IMPOSTAZIONI!$B$11</definedName>
    <definedName name="NUMRDJ">IMPOSTAZIONI!$B$12</definedName>
    <definedName name="PNEU_1">ELENCHI!$AY$21</definedName>
    <definedName name="SAGOMA_FERROVIARI">ELENCHI!$AU$21</definedName>
    <definedName name="SAGOMA_FERROVIARIA">ELENCHI!$AU$21</definedName>
    <definedName name="SPAZI" comment="Riga di spazi vuoti lungo quanto LUNGH">IMPOSTAZIONI!$B$13</definedName>
    <definedName name="TEMPI">ELENCHI!$AP$21</definedName>
    <definedName name="TIPI_OMOLOGAZIONE">ELENCHI!$AR$21</definedName>
    <definedName name="TIPO_OPERAZIONE">ELENCHI!$B$21</definedName>
    <definedName name="TIPO_VEICOLO">ELENCHI!$F$21</definedName>
    <definedName name="TIPOLOGIA_VEICOLO_TRAINANTE">ELENCHI!$AH$21</definedName>
    <definedName name="VERSIONE">IMPOSTAZIONI!$B$5</definedName>
  </definedNames>
  <calcPr calcId="145621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4" i="7" l="1"/>
  <c r="AI11" i="7"/>
  <c r="AI8" i="7"/>
  <c r="AI5" i="7"/>
  <c r="AJ69" i="19"/>
  <c r="AJ49" i="19"/>
  <c r="AJ29" i="19"/>
  <c r="I2" i="9"/>
  <c r="I6" i="9"/>
  <c r="J2" i="9"/>
  <c r="J6" i="9"/>
  <c r="K2" i="9"/>
  <c r="K6" i="9"/>
  <c r="A9" i="19"/>
  <c r="A8" i="19"/>
  <c r="B9" i="19"/>
  <c r="C9" i="19"/>
  <c r="D9" i="19"/>
  <c r="E9" i="19"/>
  <c r="F9" i="19"/>
  <c r="H9" i="19"/>
  <c r="I9" i="19"/>
  <c r="AH9" i="19"/>
  <c r="AI9" i="19"/>
  <c r="AJ9" i="19"/>
  <c r="AJ57" i="18"/>
  <c r="AJ33" i="18"/>
  <c r="A9" i="18"/>
  <c r="A8" i="18"/>
  <c r="A4" i="18"/>
  <c r="B9" i="18"/>
  <c r="C9" i="18"/>
  <c r="D9" i="18"/>
  <c r="E9" i="18"/>
  <c r="F9" i="18"/>
  <c r="H9" i="18"/>
  <c r="I9" i="18"/>
  <c r="AH9" i="18"/>
  <c r="AI9" i="18"/>
  <c r="AJ9" i="18"/>
  <c r="AJ81" i="18"/>
  <c r="AH5" i="7"/>
  <c r="AG5" i="7"/>
  <c r="AF5" i="7"/>
  <c r="AC5" i="7"/>
  <c r="AB5" i="7"/>
  <c r="Z5" i="7"/>
  <c r="H77" i="19"/>
  <c r="H76" i="19"/>
  <c r="H75" i="19"/>
  <c r="H74" i="19"/>
  <c r="H73" i="19"/>
  <c r="H72" i="19"/>
  <c r="H71" i="19"/>
  <c r="H70" i="19"/>
  <c r="H69" i="19"/>
  <c r="H57" i="19"/>
  <c r="H56" i="19"/>
  <c r="H55" i="19"/>
  <c r="H54" i="19"/>
  <c r="H53" i="19"/>
  <c r="H52" i="19"/>
  <c r="H51" i="19"/>
  <c r="H50" i="19"/>
  <c r="H49" i="19"/>
  <c r="H37" i="19"/>
  <c r="H36" i="19"/>
  <c r="H35" i="19"/>
  <c r="H34" i="19"/>
  <c r="H33" i="19"/>
  <c r="H32" i="19"/>
  <c r="H31" i="19"/>
  <c r="H30" i="19"/>
  <c r="H29" i="19"/>
  <c r="A17" i="19"/>
  <c r="G9" i="19"/>
  <c r="B10" i="19"/>
  <c r="C10" i="19"/>
  <c r="D10" i="19"/>
  <c r="E10" i="19"/>
  <c r="G10" i="19"/>
  <c r="A10" i="19"/>
  <c r="B11" i="19"/>
  <c r="C11" i="19"/>
  <c r="D11" i="19"/>
  <c r="E11" i="19"/>
  <c r="G11" i="19"/>
  <c r="A11" i="19"/>
  <c r="B12" i="19"/>
  <c r="C12" i="19"/>
  <c r="D12" i="19"/>
  <c r="E12" i="19"/>
  <c r="G12" i="19"/>
  <c r="A12" i="19"/>
  <c r="B13" i="19"/>
  <c r="C13" i="19"/>
  <c r="D13" i="19"/>
  <c r="E13" i="19"/>
  <c r="G13" i="19"/>
  <c r="A13" i="19"/>
  <c r="B14" i="19"/>
  <c r="C14" i="19"/>
  <c r="D14" i="19"/>
  <c r="E14" i="19"/>
  <c r="G14" i="19"/>
  <c r="A14" i="19"/>
  <c r="B15" i="19"/>
  <c r="C15" i="19"/>
  <c r="D15" i="19"/>
  <c r="E15" i="19"/>
  <c r="G15" i="19"/>
  <c r="A15" i="19"/>
  <c r="B16" i="19"/>
  <c r="C16" i="19"/>
  <c r="D16" i="19"/>
  <c r="E16" i="19"/>
  <c r="G16" i="19"/>
  <c r="A16" i="19"/>
  <c r="B17" i="19"/>
  <c r="C17" i="19"/>
  <c r="D17" i="19"/>
  <c r="E17" i="19"/>
  <c r="F17" i="19"/>
  <c r="H17" i="19"/>
  <c r="F16" i="19"/>
  <c r="H16" i="19"/>
  <c r="F15" i="19"/>
  <c r="H15" i="19"/>
  <c r="F14" i="19"/>
  <c r="H14" i="19"/>
  <c r="F13" i="19"/>
  <c r="H13" i="19"/>
  <c r="F12" i="19"/>
  <c r="H12" i="19"/>
  <c r="F11" i="19"/>
  <c r="H11" i="19"/>
  <c r="F10" i="19"/>
  <c r="H10" i="19"/>
  <c r="H65" i="18"/>
  <c r="H64" i="18"/>
  <c r="H63" i="18"/>
  <c r="H62" i="18"/>
  <c r="H61" i="18"/>
  <c r="H60" i="18"/>
  <c r="H59" i="18"/>
  <c r="H58" i="18"/>
  <c r="H57" i="18"/>
  <c r="H41" i="18"/>
  <c r="H40" i="18"/>
  <c r="H39" i="18"/>
  <c r="H38" i="18"/>
  <c r="H37" i="18"/>
  <c r="H36" i="18"/>
  <c r="H35" i="18"/>
  <c r="H34" i="18"/>
  <c r="H33" i="18"/>
  <c r="A17" i="18"/>
  <c r="G9" i="18"/>
  <c r="B10" i="18"/>
  <c r="C10" i="18"/>
  <c r="D10" i="18"/>
  <c r="E10" i="18"/>
  <c r="G10" i="18"/>
  <c r="A10" i="18"/>
  <c r="B11" i="18"/>
  <c r="C11" i="18"/>
  <c r="D11" i="18"/>
  <c r="E11" i="18"/>
  <c r="G11" i="18"/>
  <c r="A11" i="18"/>
  <c r="B12" i="18"/>
  <c r="C12" i="18"/>
  <c r="D12" i="18"/>
  <c r="E12" i="18"/>
  <c r="G12" i="18"/>
  <c r="A12" i="18"/>
  <c r="B13" i="18"/>
  <c r="C13" i="18"/>
  <c r="D13" i="18"/>
  <c r="E13" i="18"/>
  <c r="G13" i="18"/>
  <c r="A13" i="18"/>
  <c r="B14" i="18"/>
  <c r="C14" i="18"/>
  <c r="D14" i="18"/>
  <c r="E14" i="18"/>
  <c r="G14" i="18"/>
  <c r="A14" i="18"/>
  <c r="B15" i="18"/>
  <c r="C15" i="18"/>
  <c r="D15" i="18"/>
  <c r="E15" i="18"/>
  <c r="G15" i="18"/>
  <c r="A15" i="18"/>
  <c r="B16" i="18"/>
  <c r="C16" i="18"/>
  <c r="D16" i="18"/>
  <c r="E16" i="18"/>
  <c r="G16" i="18"/>
  <c r="A16" i="18"/>
  <c r="B17" i="18"/>
  <c r="C17" i="18"/>
  <c r="D17" i="18"/>
  <c r="E17" i="18"/>
  <c r="F17" i="18"/>
  <c r="H17" i="18"/>
  <c r="F16" i="18"/>
  <c r="H16" i="18"/>
  <c r="F15" i="18"/>
  <c r="H15" i="18"/>
  <c r="F14" i="18"/>
  <c r="H14" i="18"/>
  <c r="F13" i="18"/>
  <c r="H13" i="18"/>
  <c r="F12" i="18"/>
  <c r="H12" i="18"/>
  <c r="F11" i="18"/>
  <c r="H11" i="18"/>
  <c r="F10" i="18"/>
  <c r="H10" i="18"/>
  <c r="H89" i="18"/>
  <c r="H88" i="18"/>
  <c r="H87" i="18"/>
  <c r="H86" i="18"/>
  <c r="H85" i="18"/>
  <c r="H84" i="18"/>
  <c r="H83" i="18"/>
  <c r="H82" i="18"/>
  <c r="H81" i="18"/>
  <c r="E29" i="19"/>
  <c r="D29" i="19"/>
  <c r="E81" i="18"/>
  <c r="D81" i="18"/>
  <c r="E57" i="18"/>
  <c r="D57" i="18"/>
  <c r="E33" i="18"/>
  <c r="D33" i="18"/>
  <c r="BK44" i="2"/>
  <c r="BL44" i="2"/>
  <c r="BM44" i="2"/>
  <c r="BV44" i="2"/>
  <c r="BI44" i="2"/>
  <c r="BN44" i="2"/>
  <c r="BO44" i="2"/>
  <c r="H15" i="7"/>
  <c r="H12" i="7"/>
  <c r="H9" i="7"/>
  <c r="H6" i="7"/>
  <c r="G15" i="7"/>
  <c r="G12" i="7"/>
  <c r="G9" i="7"/>
  <c r="G6" i="7"/>
  <c r="E15" i="7"/>
  <c r="E12" i="7"/>
  <c r="E9" i="7"/>
  <c r="E6" i="7"/>
  <c r="G5" i="9"/>
  <c r="G4" i="9"/>
  <c r="G3" i="9"/>
  <c r="G2" i="9"/>
  <c r="F5" i="9"/>
  <c r="F4" i="9"/>
  <c r="F3" i="9"/>
  <c r="F2" i="9"/>
  <c r="D5" i="9"/>
  <c r="D4" i="9"/>
  <c r="D3" i="9"/>
  <c r="D2" i="9"/>
  <c r="B2" i="25"/>
  <c r="D12" i="25"/>
  <c r="C12" i="25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W24" i="2"/>
  <c r="D24" i="2"/>
  <c r="BV28" i="2"/>
  <c r="BW28" i="2"/>
  <c r="BK28" i="2"/>
  <c r="A4" i="19"/>
  <c r="Z14" i="7"/>
  <c r="Z11" i="7"/>
  <c r="Z8" i="7"/>
  <c r="AH14" i="7"/>
  <c r="AG14" i="7"/>
  <c r="AF14" i="7"/>
  <c r="AC14" i="7"/>
  <c r="AB14" i="7"/>
  <c r="AH11" i="7"/>
  <c r="AG11" i="7"/>
  <c r="AF11" i="7"/>
  <c r="AC11" i="7"/>
  <c r="AB11" i="7"/>
  <c r="AH8" i="7"/>
  <c r="AG8" i="7"/>
  <c r="AF8" i="7"/>
  <c r="AC8" i="7"/>
  <c r="AB8" i="7"/>
  <c r="N36" i="2"/>
  <c r="N25" i="2"/>
  <c r="N26" i="2"/>
  <c r="N27" i="2"/>
  <c r="N28" i="2"/>
  <c r="N29" i="2"/>
  <c r="N30" i="2"/>
  <c r="N31" i="2"/>
  <c r="N32" i="2"/>
  <c r="N33" i="2"/>
  <c r="N34" i="2"/>
  <c r="N35" i="2"/>
  <c r="N37" i="2"/>
  <c r="N38" i="2"/>
  <c r="N39" i="2"/>
  <c r="N40" i="2"/>
  <c r="N41" i="2"/>
  <c r="N42" i="2"/>
  <c r="N43" i="2"/>
  <c r="N44" i="2"/>
  <c r="N45" i="2"/>
  <c r="N46" i="2"/>
  <c r="N47" i="2"/>
  <c r="N24" i="2"/>
  <c r="C1" i="25"/>
  <c r="B1" i="25"/>
  <c r="BV43" i="2"/>
  <c r="BI43" i="2"/>
  <c r="BV42" i="2"/>
  <c r="BI42" i="2"/>
  <c r="BV41" i="2"/>
  <c r="BI41" i="2"/>
  <c r="BV40" i="2"/>
  <c r="BW40" i="2"/>
  <c r="BI40" i="2"/>
  <c r="BV39" i="2"/>
  <c r="BW39" i="2"/>
  <c r="BI39" i="2"/>
  <c r="BV38" i="2"/>
  <c r="BW38" i="2"/>
  <c r="BI38" i="2"/>
  <c r="BV37" i="2"/>
  <c r="BW37" i="2"/>
  <c r="BI37" i="2"/>
  <c r="BI36" i="2"/>
  <c r="BV35" i="2"/>
  <c r="BI35" i="2"/>
  <c r="BV34" i="2"/>
  <c r="BI34" i="2"/>
  <c r="BV33" i="2"/>
  <c r="BI33" i="2"/>
  <c r="BV32" i="2"/>
  <c r="BI32" i="2"/>
  <c r="BV31" i="2"/>
  <c r="BI31" i="2"/>
  <c r="BV30" i="2"/>
  <c r="BI30" i="2"/>
  <c r="BV29" i="2"/>
  <c r="BI29" i="2"/>
  <c r="BI28" i="2"/>
  <c r="BV27" i="2"/>
  <c r="BI27" i="2"/>
  <c r="BV26" i="2"/>
  <c r="BI26" i="2"/>
  <c r="BV25" i="2"/>
  <c r="BI25" i="2"/>
  <c r="BV24" i="2"/>
  <c r="BI24" i="2"/>
  <c r="BA24" i="2"/>
  <c r="BA25" i="2"/>
  <c r="BK43" i="2"/>
  <c r="BW43" i="2"/>
  <c r="BK34" i="2"/>
  <c r="BW34" i="2"/>
  <c r="BK35" i="2"/>
  <c r="BW35" i="2"/>
  <c r="BL37" i="2"/>
  <c r="BL38" i="2"/>
  <c r="BL39" i="2"/>
  <c r="BL40" i="2"/>
  <c r="BK41" i="2"/>
  <c r="BW41" i="2"/>
  <c r="BK42" i="2"/>
  <c r="BW42" i="2"/>
  <c r="BK29" i="2"/>
  <c r="BW29" i="2"/>
  <c r="BK30" i="2"/>
  <c r="BW30" i="2"/>
  <c r="BK31" i="2"/>
  <c r="BW31" i="2"/>
  <c r="BK32" i="2"/>
  <c r="BW32" i="2"/>
  <c r="BK33" i="2"/>
  <c r="BW33" i="2"/>
  <c r="BK25" i="2"/>
  <c r="BW25" i="2"/>
  <c r="BK26" i="2"/>
  <c r="BW26" i="2"/>
  <c r="BK27" i="2"/>
  <c r="BW27" i="2"/>
  <c r="BK24" i="2"/>
  <c r="BW24" i="2"/>
  <c r="C1" i="17"/>
  <c r="B1" i="17"/>
  <c r="C1" i="2"/>
  <c r="B1" i="2"/>
  <c r="N4" i="23"/>
  <c r="I1" i="23"/>
  <c r="A4" i="7"/>
  <c r="A1" i="7"/>
  <c r="BL43" i="2"/>
  <c r="BL42" i="2"/>
  <c r="BL41" i="2"/>
  <c r="BM40" i="2"/>
  <c r="BM39" i="2"/>
  <c r="BM38" i="2"/>
  <c r="BM37" i="2"/>
  <c r="BL35" i="2"/>
  <c r="BL34" i="2"/>
  <c r="BL33" i="2"/>
  <c r="BL32" i="2"/>
  <c r="BL31" i="2"/>
  <c r="BL30" i="2"/>
  <c r="BL29" i="2"/>
  <c r="BL28" i="2"/>
  <c r="BX28" i="2"/>
  <c r="BL27" i="2"/>
  <c r="BL26" i="2"/>
  <c r="BL25" i="2"/>
  <c r="BL24" i="2"/>
  <c r="A48" i="24"/>
  <c r="B48" i="24"/>
  <c r="A47" i="24"/>
  <c r="B47" i="24"/>
  <c r="A46" i="24"/>
  <c r="B46" i="24"/>
  <c r="A45" i="24"/>
  <c r="B45" i="24"/>
  <c r="A44" i="24"/>
  <c r="B44" i="24"/>
  <c r="A43" i="24"/>
  <c r="B43" i="24"/>
  <c r="A42" i="24"/>
  <c r="B42" i="24"/>
  <c r="A41" i="24"/>
  <c r="A40" i="24"/>
  <c r="A39" i="24"/>
  <c r="A38" i="24"/>
  <c r="B18" i="24"/>
  <c r="B17" i="24"/>
  <c r="B13" i="24"/>
  <c r="K76" i="19"/>
  <c r="K75" i="19"/>
  <c r="K74" i="19"/>
  <c r="K73" i="19"/>
  <c r="K72" i="19"/>
  <c r="K71" i="19"/>
  <c r="K70" i="19"/>
  <c r="K69" i="19"/>
  <c r="A64" i="19"/>
  <c r="K56" i="19"/>
  <c r="K55" i="19"/>
  <c r="K54" i="19"/>
  <c r="K53" i="19"/>
  <c r="K52" i="19"/>
  <c r="K51" i="19"/>
  <c r="K50" i="19"/>
  <c r="K49" i="19"/>
  <c r="A44" i="19"/>
  <c r="K36" i="19"/>
  <c r="K35" i="19"/>
  <c r="K34" i="19"/>
  <c r="K33" i="19"/>
  <c r="K32" i="19"/>
  <c r="K31" i="19"/>
  <c r="K30" i="19"/>
  <c r="K29" i="19"/>
  <c r="A24" i="19"/>
  <c r="K16" i="19"/>
  <c r="K15" i="19"/>
  <c r="K14" i="19"/>
  <c r="K13" i="19"/>
  <c r="K12" i="19"/>
  <c r="K11" i="19"/>
  <c r="K10" i="19"/>
  <c r="K9" i="19"/>
  <c r="K88" i="18"/>
  <c r="K87" i="18"/>
  <c r="K86" i="18"/>
  <c r="K85" i="18"/>
  <c r="K84" i="18"/>
  <c r="K83" i="18"/>
  <c r="K82" i="18"/>
  <c r="K81" i="18"/>
  <c r="A76" i="18"/>
  <c r="K64" i="18"/>
  <c r="K63" i="18"/>
  <c r="K62" i="18"/>
  <c r="K61" i="18"/>
  <c r="K60" i="18"/>
  <c r="K59" i="18"/>
  <c r="K58" i="18"/>
  <c r="K57" i="18"/>
  <c r="A52" i="18"/>
  <c r="K40" i="18"/>
  <c r="K39" i="18"/>
  <c r="K38" i="18"/>
  <c r="K37" i="18"/>
  <c r="K36" i="18"/>
  <c r="K35" i="18"/>
  <c r="K34" i="18"/>
  <c r="K33" i="18"/>
  <c r="A28" i="18"/>
  <c r="K16" i="18"/>
  <c r="K15" i="18"/>
  <c r="K14" i="18"/>
  <c r="K13" i="18"/>
  <c r="K12" i="18"/>
  <c r="K11" i="18"/>
  <c r="K10" i="18"/>
  <c r="K9" i="18"/>
  <c r="CP12" i="9"/>
  <c r="CO12" i="9"/>
  <c r="CN12" i="9"/>
  <c r="CM12" i="9"/>
  <c r="CL12" i="9"/>
  <c r="CM1" i="7"/>
  <c r="CK12" i="9"/>
  <c r="CJ12" i="9"/>
  <c r="CI12" i="9"/>
  <c r="CH12" i="9"/>
  <c r="CG12" i="9"/>
  <c r="CF12" i="9"/>
  <c r="CE12" i="9"/>
  <c r="CD12" i="9"/>
  <c r="CD5" i="9"/>
  <c r="CC12" i="9"/>
  <c r="CB12" i="9"/>
  <c r="CA12" i="9"/>
  <c r="BZ12" i="9"/>
  <c r="CA1" i="7"/>
  <c r="BY12" i="9"/>
  <c r="BX12" i="9"/>
  <c r="BW12" i="9"/>
  <c r="BV12" i="9"/>
  <c r="BV5" i="9"/>
  <c r="BU12" i="9"/>
  <c r="BT12" i="9"/>
  <c r="BS12" i="9"/>
  <c r="BR12" i="9"/>
  <c r="BS1" i="7"/>
  <c r="BQ12" i="9"/>
  <c r="BP12" i="9"/>
  <c r="BO12" i="9"/>
  <c r="BN12" i="9"/>
  <c r="BM12" i="9"/>
  <c r="BL12" i="9"/>
  <c r="BK12" i="9"/>
  <c r="BJ12" i="9"/>
  <c r="BK1" i="7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U1" i="7"/>
  <c r="AS12" i="9"/>
  <c r="AR12" i="9"/>
  <c r="AQ12" i="9"/>
  <c r="AP12" i="9"/>
  <c r="AO12" i="9"/>
  <c r="AN12" i="9"/>
  <c r="AM12" i="9"/>
  <c r="AL12" i="9"/>
  <c r="AM1" i="7"/>
  <c r="AK12" i="9"/>
  <c r="AJ12" i="9"/>
  <c r="AI12" i="9"/>
  <c r="AH12" i="9"/>
  <c r="AH3" i="9"/>
  <c r="AG12" i="9"/>
  <c r="AF12" i="9"/>
  <c r="AE12" i="9"/>
  <c r="AD12" i="9"/>
  <c r="AC12" i="9"/>
  <c r="AB12" i="9"/>
  <c r="AA12" i="9"/>
  <c r="Z12" i="9"/>
  <c r="Z3" i="9"/>
  <c r="Y12" i="9"/>
  <c r="X12" i="9"/>
  <c r="W12" i="9"/>
  <c r="V12" i="9"/>
  <c r="W1" i="7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D1" i="7"/>
  <c r="B12" i="9"/>
  <c r="CH5" i="9"/>
  <c r="AN5" i="9"/>
  <c r="AJ5" i="9"/>
  <c r="AF5" i="9"/>
  <c r="AB5" i="9"/>
  <c r="X5" i="9"/>
  <c r="A5" i="9"/>
  <c r="CL4" i="9"/>
  <c r="BR4" i="9"/>
  <c r="AN4" i="9"/>
  <c r="AJ4" i="9"/>
  <c r="AF4" i="9"/>
  <c r="AB4" i="9"/>
  <c r="X4" i="9"/>
  <c r="A4" i="9"/>
  <c r="CN3" i="9"/>
  <c r="CJ3" i="9"/>
  <c r="CB3" i="9"/>
  <c r="BX3" i="9"/>
  <c r="BT3" i="9"/>
  <c r="BL3" i="9"/>
  <c r="AT3" i="9"/>
  <c r="A3" i="9"/>
  <c r="CN2" i="9"/>
  <c r="CJ2" i="9"/>
  <c r="CF2" i="9"/>
  <c r="CB2" i="9"/>
  <c r="BX2" i="9"/>
  <c r="BT2" i="9"/>
  <c r="BP2" i="9"/>
  <c r="BL2" i="9"/>
  <c r="AM2" i="9"/>
  <c r="AI2" i="9"/>
  <c r="AE2" i="9"/>
  <c r="AA2" i="9"/>
  <c r="W2" i="9"/>
  <c r="S2" i="9"/>
  <c r="A2" i="9"/>
  <c r="CP1" i="9"/>
  <c r="CO1" i="9"/>
  <c r="CN1" i="9"/>
  <c r="CM1" i="9"/>
  <c r="CL1" i="9"/>
  <c r="CK1" i="9"/>
  <c r="CJ1" i="9"/>
  <c r="CI1" i="9"/>
  <c r="CH1" i="9"/>
  <c r="CG1" i="9"/>
  <c r="CF1" i="9"/>
  <c r="CE1" i="9"/>
  <c r="CD1" i="9"/>
  <c r="CC1" i="9"/>
  <c r="CB1" i="9"/>
  <c r="CA1" i="9"/>
  <c r="BZ1" i="9"/>
  <c r="BY1" i="9"/>
  <c r="BX1" i="9"/>
  <c r="BW1" i="9"/>
  <c r="BV1" i="9"/>
  <c r="BU1" i="9"/>
  <c r="BT1" i="9"/>
  <c r="BS1" i="9"/>
  <c r="BR1" i="9"/>
  <c r="BQ1" i="9"/>
  <c r="BP1" i="9"/>
  <c r="BO1" i="9"/>
  <c r="BN1" i="9"/>
  <c r="BM1" i="9"/>
  <c r="BL1" i="9"/>
  <c r="BK1" i="9"/>
  <c r="BJ1" i="9"/>
  <c r="BI1" i="9"/>
  <c r="BH1" i="9"/>
  <c r="BG1" i="9"/>
  <c r="BF1" i="9"/>
  <c r="BE1" i="9"/>
  <c r="BD1" i="9"/>
  <c r="BC1" i="9"/>
  <c r="BB1" i="9"/>
  <c r="BA1" i="9"/>
  <c r="AZ1" i="9"/>
  <c r="AY1" i="9"/>
  <c r="AX1" i="9"/>
  <c r="AW1" i="9"/>
  <c r="AV1" i="9"/>
  <c r="AU1" i="9"/>
  <c r="AT1" i="9"/>
  <c r="AS1" i="9"/>
  <c r="AR1" i="9"/>
  <c r="AQ1" i="9"/>
  <c r="AP1" i="9"/>
  <c r="AO1" i="9"/>
  <c r="AN1" i="9"/>
  <c r="AM1" i="9"/>
  <c r="AL1" i="9"/>
  <c r="AK1" i="9"/>
  <c r="AJ1" i="9"/>
  <c r="AI1" i="9"/>
  <c r="AH1" i="9"/>
  <c r="AG1" i="9"/>
  <c r="AF1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B16" i="17"/>
  <c r="B12" i="17"/>
  <c r="B8" i="17"/>
  <c r="B4" i="17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O47" i="2"/>
  <c r="AF46" i="2"/>
  <c r="O46" i="2"/>
  <c r="AF45" i="2"/>
  <c r="O45" i="2"/>
  <c r="AF44" i="2"/>
  <c r="O44" i="2"/>
  <c r="AF43" i="2"/>
  <c r="O43" i="2"/>
  <c r="AF42" i="2"/>
  <c r="O42" i="2"/>
  <c r="AF41" i="2"/>
  <c r="O41" i="2"/>
  <c r="AF40" i="2"/>
  <c r="O40" i="2"/>
  <c r="AF39" i="2"/>
  <c r="O39" i="2"/>
  <c r="AF38" i="2"/>
  <c r="O38" i="2"/>
  <c r="AF37" i="2"/>
  <c r="O37" i="2"/>
  <c r="AF36" i="2"/>
  <c r="AA36" i="2"/>
  <c r="O36" i="2"/>
  <c r="AF35" i="2"/>
  <c r="AA35" i="2"/>
  <c r="O35" i="2"/>
  <c r="AF34" i="2"/>
  <c r="AA34" i="2"/>
  <c r="O34" i="2"/>
  <c r="AF33" i="2"/>
  <c r="AA33" i="2"/>
  <c r="W34" i="2"/>
  <c r="O33" i="2"/>
  <c r="AF32" i="2"/>
  <c r="AA32" i="2"/>
  <c r="W33" i="2"/>
  <c r="O32" i="2"/>
  <c r="AF31" i="2"/>
  <c r="AA31" i="2"/>
  <c r="W32" i="2"/>
  <c r="O31" i="2"/>
  <c r="AF30" i="2"/>
  <c r="AA30" i="2"/>
  <c r="W31" i="2"/>
  <c r="O30" i="2"/>
  <c r="AF29" i="2"/>
  <c r="AA29" i="2"/>
  <c r="W30" i="2"/>
  <c r="S29" i="2"/>
  <c r="O29" i="2"/>
  <c r="AF28" i="2"/>
  <c r="AA28" i="2"/>
  <c r="W29" i="2"/>
  <c r="S28" i="2"/>
  <c r="O28" i="2"/>
  <c r="AF27" i="2"/>
  <c r="AA27" i="2"/>
  <c r="W28" i="2"/>
  <c r="S27" i="2"/>
  <c r="O27" i="2"/>
  <c r="AW26" i="2"/>
  <c r="AF26" i="2"/>
  <c r="AA26" i="2"/>
  <c r="W27" i="2"/>
  <c r="S26" i="2"/>
  <c r="O26" i="2"/>
  <c r="D27" i="2"/>
  <c r="BE25" i="2"/>
  <c r="AW25" i="2"/>
  <c r="AN25" i="2"/>
  <c r="AJ25" i="2"/>
  <c r="AF25" i="2"/>
  <c r="AA25" i="2"/>
  <c r="W26" i="2"/>
  <c r="S25" i="2"/>
  <c r="O25" i="2"/>
  <c r="D26" i="2"/>
  <c r="BE24" i="2"/>
  <c r="BA26" i="2"/>
  <c r="AW24" i="2"/>
  <c r="AN24" i="2"/>
  <c r="AJ24" i="2"/>
  <c r="AF24" i="2"/>
  <c r="AA24" i="2"/>
  <c r="W25" i="2"/>
  <c r="S24" i="2"/>
  <c r="O24" i="2"/>
  <c r="D25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E3" i="23"/>
  <c r="D15" i="7"/>
  <c r="D12" i="7"/>
  <c r="D9" i="7"/>
  <c r="D6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K1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CP1" i="7"/>
  <c r="CO1" i="7"/>
  <c r="CN1" i="7"/>
  <c r="CL1" i="7"/>
  <c r="CK1" i="7"/>
  <c r="CJ1" i="7"/>
  <c r="CH1" i="7"/>
  <c r="CG1" i="7"/>
  <c r="CF1" i="7"/>
  <c r="CD1" i="7"/>
  <c r="CC1" i="7"/>
  <c r="CB1" i="7"/>
  <c r="BZ1" i="7"/>
  <c r="BY1" i="7"/>
  <c r="BX1" i="7"/>
  <c r="BV1" i="7"/>
  <c r="BU1" i="7"/>
  <c r="BT1" i="7"/>
  <c r="BR1" i="7"/>
  <c r="BQ1" i="7"/>
  <c r="BP1" i="7"/>
  <c r="BN1" i="7"/>
  <c r="BM1" i="7"/>
  <c r="BL1" i="7"/>
  <c r="BJ1" i="7"/>
  <c r="BI1" i="7"/>
  <c r="BH1" i="7"/>
  <c r="BF1" i="7"/>
  <c r="BE1" i="7"/>
  <c r="BD1" i="7"/>
  <c r="BB1" i="7"/>
  <c r="BA1" i="7"/>
  <c r="AZ1" i="7"/>
  <c r="AX1" i="7"/>
  <c r="AW1" i="7"/>
  <c r="AV1" i="7"/>
  <c r="AT1" i="7"/>
  <c r="AS1" i="7"/>
  <c r="AR1" i="7"/>
  <c r="AP1" i="7"/>
  <c r="AO1" i="7"/>
  <c r="AN1" i="7"/>
  <c r="AL1" i="7"/>
  <c r="AK1" i="7"/>
  <c r="AJ1" i="7"/>
  <c r="AH1" i="7"/>
  <c r="AG1" i="7"/>
  <c r="AF1" i="7"/>
  <c r="AD1" i="7"/>
  <c r="AC1" i="7"/>
  <c r="AB1" i="7"/>
  <c r="Z1" i="7"/>
  <c r="Y1" i="7"/>
  <c r="X1" i="7"/>
  <c r="V1" i="7"/>
  <c r="U1" i="7"/>
  <c r="T1" i="7"/>
  <c r="R1" i="7"/>
  <c r="Q1" i="7"/>
  <c r="P1" i="7"/>
  <c r="N1" i="7"/>
  <c r="M1" i="7"/>
  <c r="L1" i="7"/>
  <c r="J1" i="7"/>
  <c r="I1" i="7"/>
  <c r="H1" i="7"/>
  <c r="F1" i="7"/>
  <c r="E1" i="7"/>
  <c r="K41" i="23" a="1"/>
  <c r="O17" i="23" a="1"/>
  <c r="K44" i="23" a="1"/>
  <c r="B39" i="24"/>
  <c r="B40" i="24"/>
  <c r="O42" i="23" a="1"/>
  <c r="E4" i="23"/>
  <c r="B41" i="24"/>
  <c r="B17" i="23" a="1"/>
  <c r="K37" i="23"/>
  <c r="G25" i="23" a="1"/>
  <c r="F36" i="23"/>
  <c r="K39" i="23" a="1"/>
  <c r="K34" i="23"/>
  <c r="B38" i="24"/>
  <c r="I3" i="9"/>
  <c r="I7" i="9"/>
  <c r="CK6" i="7"/>
  <c r="CH4" i="9"/>
  <c r="CI12" i="7"/>
  <c r="AY4" i="9"/>
  <c r="H5" i="9"/>
  <c r="I15" i="7"/>
  <c r="CO5" i="9"/>
  <c r="CO9" i="7"/>
  <c r="L4" i="9"/>
  <c r="L8" i="9"/>
  <c r="AS5" i="9"/>
  <c r="AT15" i="7"/>
  <c r="BM6" i="7"/>
  <c r="BU9" i="7"/>
  <c r="AW2" i="9"/>
  <c r="AX6" i="7"/>
  <c r="BA2" i="9"/>
  <c r="BB6" i="7"/>
  <c r="K3" i="9"/>
  <c r="K7" i="9"/>
  <c r="AW3" i="9"/>
  <c r="AX9" i="7"/>
  <c r="Q4" i="9"/>
  <c r="R12" i="7"/>
  <c r="BC4" i="9"/>
  <c r="BD12" i="7"/>
  <c r="CO4" i="9"/>
  <c r="L5" i="9"/>
  <c r="L9" i="9"/>
  <c r="BA5" i="9"/>
  <c r="BB15" i="7"/>
  <c r="P2" i="9"/>
  <c r="Q6" i="7"/>
  <c r="BE2" i="9"/>
  <c r="BF6" i="7"/>
  <c r="P3" i="9"/>
  <c r="Q9" i="7"/>
  <c r="BC3" i="9"/>
  <c r="BD9" i="7"/>
  <c r="BG4" i="9"/>
  <c r="BH12" i="7"/>
  <c r="P5" i="9"/>
  <c r="Q15" i="7"/>
  <c r="BG5" i="9"/>
  <c r="BH15" i="7"/>
  <c r="E2" i="9"/>
  <c r="AQ3" i="9"/>
  <c r="AR9" i="7"/>
  <c r="BH3" i="9"/>
  <c r="BI9" i="7"/>
  <c r="AR4" i="9"/>
  <c r="E3" i="9"/>
  <c r="F9" i="7"/>
  <c r="Q3" i="9"/>
  <c r="R9" i="7"/>
  <c r="AY3" i="9"/>
  <c r="AZ9" i="7"/>
  <c r="AZ4" i="9"/>
  <c r="BA12" i="7"/>
  <c r="BH4" i="9"/>
  <c r="BI12" i="7"/>
  <c r="E5" i="9"/>
  <c r="F15" i="7"/>
  <c r="Q5" i="9"/>
  <c r="R15" i="7"/>
  <c r="AP5" i="9"/>
  <c r="AQ15" i="7"/>
  <c r="AW5" i="9"/>
  <c r="AX15" i="7"/>
  <c r="BH5" i="9"/>
  <c r="BI15" i="7"/>
  <c r="J4" i="9"/>
  <c r="J8" i="9"/>
  <c r="R4" i="9"/>
  <c r="S12" i="7"/>
  <c r="AP4" i="9"/>
  <c r="AQ12" i="7"/>
  <c r="BB3" i="9"/>
  <c r="BC9" i="7"/>
  <c r="BF3" i="9"/>
  <c r="BG9" i="7"/>
  <c r="BN4" i="9"/>
  <c r="C2" i="9"/>
  <c r="H2" i="9"/>
  <c r="M2" i="9"/>
  <c r="M6" i="9"/>
  <c r="AR2" i="9"/>
  <c r="AS6" i="7"/>
  <c r="AY2" i="9"/>
  <c r="AZ6" i="7"/>
  <c r="BC2" i="9"/>
  <c r="BD6" i="7"/>
  <c r="BG2" i="9"/>
  <c r="BH6" i="7"/>
  <c r="M3" i="9"/>
  <c r="M7" i="9"/>
  <c r="V3" i="9"/>
  <c r="W9" i="7"/>
  <c r="AS3" i="9"/>
  <c r="AT9" i="7"/>
  <c r="AZ3" i="9"/>
  <c r="BA9" i="7"/>
  <c r="BE3" i="9"/>
  <c r="BF9" i="7"/>
  <c r="I4" i="9"/>
  <c r="I8" i="9"/>
  <c r="O4" i="9"/>
  <c r="AW4" i="9"/>
  <c r="AX12" i="7"/>
  <c r="BA4" i="9"/>
  <c r="BB12" i="7"/>
  <c r="BE4" i="9"/>
  <c r="B5" i="9"/>
  <c r="C15" i="7"/>
  <c r="J5" i="9"/>
  <c r="J9" i="9"/>
  <c r="N5" i="9"/>
  <c r="O15" i="7"/>
  <c r="R5" i="9"/>
  <c r="S15" i="7"/>
  <c r="AQ5" i="9"/>
  <c r="AR15" i="7"/>
  <c r="AY5" i="9"/>
  <c r="AZ15" i="7"/>
  <c r="BD5" i="9"/>
  <c r="BE15" i="7"/>
  <c r="BN5" i="9"/>
  <c r="BO15" i="7"/>
  <c r="L2" i="9"/>
  <c r="L6" i="9"/>
  <c r="Q2" i="9"/>
  <c r="AQ2" i="9"/>
  <c r="AR6" i="7"/>
  <c r="AX2" i="9"/>
  <c r="AY6" i="7"/>
  <c r="BB2" i="9"/>
  <c r="BC6" i="7"/>
  <c r="BF2" i="9"/>
  <c r="BG6" i="7"/>
  <c r="BN2" i="9"/>
  <c r="BO6" i="7"/>
  <c r="CO2" i="9"/>
  <c r="L3" i="9"/>
  <c r="L7" i="9"/>
  <c r="AR3" i="9"/>
  <c r="AS9" i="7"/>
  <c r="BD3" i="9"/>
  <c r="BE9" i="7"/>
  <c r="C4" i="9"/>
  <c r="H4" i="9"/>
  <c r="I12" i="7"/>
  <c r="M4" i="9"/>
  <c r="M8" i="9"/>
  <c r="V4" i="9"/>
  <c r="W12" i="7"/>
  <c r="AS4" i="9"/>
  <c r="AT12" i="7"/>
  <c r="BD4" i="9"/>
  <c r="BE12" i="7"/>
  <c r="I5" i="9"/>
  <c r="I9" i="9"/>
  <c r="M5" i="9"/>
  <c r="M9" i="9"/>
  <c r="AD5" i="9"/>
  <c r="AE15" i="7"/>
  <c r="BC5" i="9"/>
  <c r="BD15" i="7"/>
  <c r="B4" i="9"/>
  <c r="C12" i="7"/>
  <c r="N4" i="9"/>
  <c r="O12" i="7"/>
  <c r="AD4" i="9"/>
  <c r="AE12" i="7"/>
  <c r="AX3" i="9"/>
  <c r="CP5" i="9"/>
  <c r="O2" i="9"/>
  <c r="P6" i="7"/>
  <c r="V2" i="9"/>
  <c r="W6" i="7"/>
  <c r="AS2" i="9"/>
  <c r="AZ2" i="9"/>
  <c r="BA6" i="7"/>
  <c r="BD2" i="9"/>
  <c r="BE6" i="7"/>
  <c r="BH2" i="9"/>
  <c r="BI6" i="7"/>
  <c r="C3" i="9"/>
  <c r="H3" i="9"/>
  <c r="I9" i="7"/>
  <c r="O3" i="9"/>
  <c r="P9" i="7"/>
  <c r="AP3" i="9"/>
  <c r="AQ9" i="7"/>
  <c r="BA3" i="9"/>
  <c r="BB9" i="7"/>
  <c r="BG3" i="9"/>
  <c r="BH9" i="7"/>
  <c r="CO3" i="9"/>
  <c r="E4" i="9"/>
  <c r="F12" i="7"/>
  <c r="K4" i="9"/>
  <c r="K8" i="9"/>
  <c r="P4" i="9"/>
  <c r="Q12" i="7"/>
  <c r="AQ4" i="9"/>
  <c r="AR12" i="7"/>
  <c r="AX4" i="9"/>
  <c r="AY12" i="7"/>
  <c r="BB4" i="9"/>
  <c r="BC12" i="7"/>
  <c r="BF4" i="9"/>
  <c r="BG12" i="7"/>
  <c r="C5" i="9"/>
  <c r="K5" i="9"/>
  <c r="K9" i="9"/>
  <c r="O5" i="9"/>
  <c r="P15" i="7"/>
  <c r="AR5" i="9"/>
  <c r="AS15" i="7"/>
  <c r="AZ5" i="9"/>
  <c r="BA15" i="7"/>
  <c r="BE5" i="9"/>
  <c r="BF15" i="7"/>
  <c r="CC6" i="7"/>
  <c r="O1" i="7"/>
  <c r="AA1" i="7"/>
  <c r="AI1" i="7"/>
  <c r="AY1" i="7"/>
  <c r="CP2" i="9"/>
  <c r="CP3" i="9"/>
  <c r="BV4" i="9"/>
  <c r="BW12" i="7"/>
  <c r="V5" i="9"/>
  <c r="W15" i="7"/>
  <c r="AX5" i="9"/>
  <c r="AY15" i="7"/>
  <c r="BB5" i="9"/>
  <c r="BC15" i="7"/>
  <c r="BF5" i="9"/>
  <c r="BG15" i="7"/>
  <c r="BR5" i="9"/>
  <c r="BS15" i="7"/>
  <c r="CL5" i="9"/>
  <c r="CM15" i="7"/>
  <c r="G1" i="7"/>
  <c r="K1" i="7"/>
  <c r="S1" i="7"/>
  <c r="AE1" i="7"/>
  <c r="AQ1" i="7"/>
  <c r="BC1" i="7"/>
  <c r="BG1" i="7"/>
  <c r="BO1" i="7"/>
  <c r="BW1" i="7"/>
  <c r="CE1" i="7"/>
  <c r="CI1" i="7"/>
  <c r="CQ1" i="7"/>
  <c r="C1" i="7"/>
  <c r="AI9" i="7"/>
  <c r="CE15" i="7"/>
  <c r="B2" i="9"/>
  <c r="C6" i="7"/>
  <c r="N2" i="9"/>
  <c r="R2" i="9"/>
  <c r="S6" i="7"/>
  <c r="AD3" i="9"/>
  <c r="AE9" i="7"/>
  <c r="BN3" i="9"/>
  <c r="BO9" i="7"/>
  <c r="CD4" i="9"/>
  <c r="CE12" i="7"/>
  <c r="CP4" i="9"/>
  <c r="AD2" i="9"/>
  <c r="AE6" i="7"/>
  <c r="AP2" i="9"/>
  <c r="AQ6" i="7"/>
  <c r="B3" i="9"/>
  <c r="C9" i="7"/>
  <c r="J3" i="9"/>
  <c r="J7" i="9"/>
  <c r="N3" i="9"/>
  <c r="O9" i="7"/>
  <c r="R3" i="9"/>
  <c r="S9" i="7"/>
  <c r="BM43" i="2"/>
  <c r="BM34" i="2"/>
  <c r="BM35" i="2"/>
  <c r="BN37" i="2"/>
  <c r="BO37" i="2"/>
  <c r="BN38" i="2"/>
  <c r="BO38" i="2"/>
  <c r="BN39" i="2"/>
  <c r="BO39" i="2"/>
  <c r="BN40" i="2"/>
  <c r="BO40" i="2"/>
  <c r="BM41" i="2"/>
  <c r="BM42" i="2"/>
  <c r="BM29" i="2"/>
  <c r="BM30" i="2"/>
  <c r="BM31" i="2"/>
  <c r="BM32" i="2"/>
  <c r="BM33" i="2"/>
  <c r="BM25" i="2"/>
  <c r="BM26" i="2"/>
  <c r="BM27" i="2"/>
  <c r="BM28" i="2"/>
  <c r="BY28" i="2"/>
  <c r="BM24" i="2"/>
  <c r="BZ5" i="9"/>
  <c r="CA15" i="7"/>
  <c r="BY9" i="7"/>
  <c r="AU9" i="7"/>
  <c r="BS12" i="7"/>
  <c r="CI15" i="7"/>
  <c r="P12" i="7"/>
  <c r="F6" i="7"/>
  <c r="N6" i="7"/>
  <c r="X6" i="7"/>
  <c r="AJ6" i="7"/>
  <c r="AA9" i="7"/>
  <c r="BM9" i="7"/>
  <c r="M12" i="7"/>
  <c r="AS12" i="7"/>
  <c r="AZ12" i="7"/>
  <c r="AB6" i="7"/>
  <c r="AN6" i="7"/>
  <c r="BU6" i="7"/>
  <c r="CK9" i="7"/>
  <c r="BW15" i="7"/>
  <c r="BQ6" i="7"/>
  <c r="Y12" i="7"/>
  <c r="AO12" i="7"/>
  <c r="T6" i="7"/>
  <c r="BY6" i="7"/>
  <c r="CO6" i="7"/>
  <c r="BF12" i="7"/>
  <c r="BO12" i="7"/>
  <c r="AC15" i="7"/>
  <c r="AO15" i="7"/>
  <c r="CG6" i="7"/>
  <c r="CC9" i="7"/>
  <c r="AG15" i="7"/>
  <c r="AC12" i="7"/>
  <c r="Y15" i="7"/>
  <c r="AK15" i="7"/>
  <c r="AF6" i="7"/>
  <c r="AG12" i="7"/>
  <c r="CM12" i="7"/>
  <c r="AL3" i="9"/>
  <c r="AM9" i="7"/>
  <c r="BP3" i="9"/>
  <c r="BQ9" i="7"/>
  <c r="CF3" i="9"/>
  <c r="CG9" i="7"/>
  <c r="T4" i="9"/>
  <c r="U12" i="7"/>
  <c r="BJ4" i="9"/>
  <c r="BK12" i="7"/>
  <c r="BZ4" i="9"/>
  <c r="CA12" i="7"/>
  <c r="T5" i="9"/>
  <c r="U15" i="7"/>
  <c r="BJ5" i="9"/>
  <c r="BK15" i="7"/>
  <c r="AU2" i="9"/>
  <c r="AU4" i="9"/>
  <c r="AV12" i="7"/>
  <c r="AV4" i="9"/>
  <c r="AW12" i="7"/>
  <c r="AV5" i="9"/>
  <c r="AW15" i="7"/>
  <c r="AV2" i="9"/>
  <c r="AU3" i="9"/>
  <c r="AV9" i="7"/>
  <c r="AU5" i="9"/>
  <c r="AV15" i="7"/>
  <c r="AV3" i="9"/>
  <c r="AW9" i="7"/>
  <c r="CK5" i="9"/>
  <c r="CL15" i="7"/>
  <c r="CG5" i="9"/>
  <c r="CH15" i="7"/>
  <c r="CC5" i="9"/>
  <c r="CD15" i="7"/>
  <c r="BY5" i="9"/>
  <c r="BZ15" i="7"/>
  <c r="BU5" i="9"/>
  <c r="BV15" i="7"/>
  <c r="BQ5" i="9"/>
  <c r="BR15" i="7"/>
  <c r="BM5" i="9"/>
  <c r="BN15" i="7"/>
  <c r="BI5" i="9"/>
  <c r="BJ15" i="7"/>
  <c r="AM5" i="9"/>
  <c r="AN15" i="7"/>
  <c r="AI5" i="9"/>
  <c r="AJ15" i="7"/>
  <c r="AE5" i="9"/>
  <c r="AF15" i="7"/>
  <c r="AA5" i="9"/>
  <c r="AB15" i="7"/>
  <c r="W5" i="9"/>
  <c r="X15" i="7"/>
  <c r="S5" i="9"/>
  <c r="T15" i="7"/>
  <c r="CK4" i="9"/>
  <c r="CL12" i="7"/>
  <c r="CG4" i="9"/>
  <c r="CH12" i="7"/>
  <c r="CC4" i="9"/>
  <c r="CD12" i="7"/>
  <c r="BY4" i="9"/>
  <c r="BZ12" i="7"/>
  <c r="BU4" i="9"/>
  <c r="BV12" i="7"/>
  <c r="BQ4" i="9"/>
  <c r="BR12" i="7"/>
  <c r="BM4" i="9"/>
  <c r="BN12" i="7"/>
  <c r="BI4" i="9"/>
  <c r="BJ12" i="7"/>
  <c r="AM4" i="9"/>
  <c r="AN12" i="7"/>
  <c r="AI4" i="9"/>
  <c r="AJ12" i="7"/>
  <c r="AE4" i="9"/>
  <c r="AA4" i="9"/>
  <c r="W4" i="9"/>
  <c r="S4" i="9"/>
  <c r="CM3" i="9"/>
  <c r="CN9" i="7"/>
  <c r="CI3" i="9"/>
  <c r="CJ9" i="7"/>
  <c r="CE3" i="9"/>
  <c r="CF9" i="7"/>
  <c r="CA3" i="9"/>
  <c r="CB9" i="7"/>
  <c r="BW3" i="9"/>
  <c r="BX9" i="7"/>
  <c r="BS3" i="9"/>
  <c r="BT9" i="7"/>
  <c r="BO3" i="9"/>
  <c r="BK3" i="9"/>
  <c r="BL9" i="7"/>
  <c r="AO3" i="9"/>
  <c r="AP9" i="7"/>
  <c r="AK3" i="9"/>
  <c r="AL9" i="7"/>
  <c r="AG3" i="9"/>
  <c r="AH9" i="7"/>
  <c r="AC3" i="9"/>
  <c r="AD9" i="7"/>
  <c r="Y3" i="9"/>
  <c r="Z9" i="7"/>
  <c r="U3" i="9"/>
  <c r="V9" i="7"/>
  <c r="CM2" i="9"/>
  <c r="CI2" i="9"/>
  <c r="CE2" i="9"/>
  <c r="CA2" i="9"/>
  <c r="BW2" i="9"/>
  <c r="BS2" i="9"/>
  <c r="BO2" i="9"/>
  <c r="BP6" i="7"/>
  <c r="BK2" i="9"/>
  <c r="AT2" i="9"/>
  <c r="AL2" i="9"/>
  <c r="AH2" i="9"/>
  <c r="Z2" i="9"/>
  <c r="CN5" i="9"/>
  <c r="CO15" i="7"/>
  <c r="CJ5" i="9"/>
  <c r="CK15" i="7"/>
  <c r="CF5" i="9"/>
  <c r="CG15" i="7"/>
  <c r="CB5" i="9"/>
  <c r="CC15" i="7"/>
  <c r="BX5" i="9"/>
  <c r="BY15" i="7"/>
  <c r="BT5" i="9"/>
  <c r="BU15" i="7"/>
  <c r="BP5" i="9"/>
  <c r="BQ15" i="7"/>
  <c r="BL5" i="9"/>
  <c r="BM15" i="7"/>
  <c r="AT5" i="9"/>
  <c r="AU15" i="7"/>
  <c r="AL5" i="9"/>
  <c r="AM15" i="7"/>
  <c r="AH5" i="9"/>
  <c r="AI15" i="7"/>
  <c r="Z5" i="9"/>
  <c r="AA15" i="7"/>
  <c r="CN4" i="9"/>
  <c r="CO12" i="7"/>
  <c r="CJ4" i="9"/>
  <c r="CK12" i="7"/>
  <c r="CF4" i="9"/>
  <c r="CG12" i="7"/>
  <c r="CB4" i="9"/>
  <c r="CC12" i="7"/>
  <c r="BX4" i="9"/>
  <c r="BY12" i="7"/>
  <c r="BT4" i="9"/>
  <c r="BU12" i="7"/>
  <c r="BP4" i="9"/>
  <c r="BQ12" i="7"/>
  <c r="BL4" i="9"/>
  <c r="BM12" i="7"/>
  <c r="AT4" i="9"/>
  <c r="AU12" i="7"/>
  <c r="AL4" i="9"/>
  <c r="AM12" i="7"/>
  <c r="AH4" i="9"/>
  <c r="AI12" i="7"/>
  <c r="Z4" i="9"/>
  <c r="AA12" i="7"/>
  <c r="CL3" i="9"/>
  <c r="CM9" i="7"/>
  <c r="CH3" i="9"/>
  <c r="CI9" i="7"/>
  <c r="CD3" i="9"/>
  <c r="CE9" i="7"/>
  <c r="BZ3" i="9"/>
  <c r="CA9" i="7"/>
  <c r="BV3" i="9"/>
  <c r="BW9" i="7"/>
  <c r="BR3" i="9"/>
  <c r="BS9" i="7"/>
  <c r="BJ3" i="9"/>
  <c r="BK9" i="7"/>
  <c r="AN3" i="9"/>
  <c r="AO9" i="7"/>
  <c r="AJ3" i="9"/>
  <c r="AK9" i="7"/>
  <c r="AF3" i="9"/>
  <c r="AG9" i="7"/>
  <c r="AB3" i="9"/>
  <c r="AC9" i="7"/>
  <c r="X3" i="9"/>
  <c r="Y9" i="7"/>
  <c r="T3" i="9"/>
  <c r="U9" i="7"/>
  <c r="CL2" i="9"/>
  <c r="CH2" i="9"/>
  <c r="CD2" i="9"/>
  <c r="BZ2" i="9"/>
  <c r="BV2" i="9"/>
  <c r="BR2" i="9"/>
  <c r="BJ2" i="9"/>
  <c r="AO2" i="9"/>
  <c r="AK2" i="9"/>
  <c r="AG2" i="9"/>
  <c r="AC2" i="9"/>
  <c r="Y2" i="9"/>
  <c r="U2" i="9"/>
  <c r="CM5" i="9"/>
  <c r="CN15" i="7"/>
  <c r="CI5" i="9"/>
  <c r="CJ15" i="7"/>
  <c r="CE5" i="9"/>
  <c r="CF15" i="7"/>
  <c r="CA5" i="9"/>
  <c r="CB15" i="7"/>
  <c r="BW5" i="9"/>
  <c r="BX15" i="7"/>
  <c r="BS5" i="9"/>
  <c r="BT15" i="7"/>
  <c r="BO5" i="9"/>
  <c r="BK5" i="9"/>
  <c r="BL15" i="7"/>
  <c r="AO5" i="9"/>
  <c r="AP15" i="7"/>
  <c r="AK5" i="9"/>
  <c r="AL15" i="7"/>
  <c r="AG5" i="9"/>
  <c r="AH15" i="7"/>
  <c r="AC5" i="9"/>
  <c r="AD15" i="7"/>
  <c r="Y5" i="9"/>
  <c r="Z15" i="7"/>
  <c r="U5" i="9"/>
  <c r="V15" i="7"/>
  <c r="CM4" i="9"/>
  <c r="CN12" i="7"/>
  <c r="CI4" i="9"/>
  <c r="CJ12" i="7"/>
  <c r="CE4" i="9"/>
  <c r="CF12" i="7"/>
  <c r="CA4" i="9"/>
  <c r="CB12" i="7"/>
  <c r="BW4" i="9"/>
  <c r="BX12" i="7"/>
  <c r="BS4" i="9"/>
  <c r="BT12" i="7"/>
  <c r="BO4" i="9"/>
  <c r="BP12" i="7"/>
  <c r="BK4" i="9"/>
  <c r="BL12" i="7"/>
  <c r="AO4" i="9"/>
  <c r="AP12" i="7"/>
  <c r="AK4" i="9"/>
  <c r="AL12" i="7"/>
  <c r="AG4" i="9"/>
  <c r="AH12" i="7"/>
  <c r="AC4" i="9"/>
  <c r="AD12" i="7"/>
  <c r="Y4" i="9"/>
  <c r="Z12" i="7"/>
  <c r="U4" i="9"/>
  <c r="V12" i="7"/>
  <c r="CK3" i="9"/>
  <c r="CL9" i="7"/>
  <c r="CG3" i="9"/>
  <c r="CH9" i="7"/>
  <c r="CC3" i="9"/>
  <c r="CD9" i="7"/>
  <c r="BY3" i="9"/>
  <c r="BZ9" i="7"/>
  <c r="BU3" i="9"/>
  <c r="BV9" i="7"/>
  <c r="BQ3" i="9"/>
  <c r="BR9" i="7"/>
  <c r="BM3" i="9"/>
  <c r="BN9" i="7"/>
  <c r="BI3" i="9"/>
  <c r="BJ9" i="7"/>
  <c r="AM3" i="9"/>
  <c r="AN9" i="7"/>
  <c r="AI3" i="9"/>
  <c r="AJ9" i="7"/>
  <c r="AE3" i="9"/>
  <c r="AF9" i="7"/>
  <c r="AA3" i="9"/>
  <c r="AB9" i="7"/>
  <c r="W3" i="9"/>
  <c r="X9" i="7"/>
  <c r="S3" i="9"/>
  <c r="T9" i="7"/>
  <c r="CK2" i="9"/>
  <c r="CG2" i="9"/>
  <c r="CC2" i="9"/>
  <c r="BY2" i="9"/>
  <c r="BU2" i="9"/>
  <c r="BQ2" i="9"/>
  <c r="BM2" i="9"/>
  <c r="BI2" i="9"/>
  <c r="AN2" i="9"/>
  <c r="AJ2" i="9"/>
  <c r="AF2" i="9"/>
  <c r="AB2" i="9"/>
  <c r="X2" i="9"/>
  <c r="T2" i="9"/>
  <c r="O17" i="23"/>
  <c r="G25" i="23"/>
  <c r="K41" i="23"/>
  <c r="K44" i="23"/>
  <c r="K39" i="23"/>
  <c r="O42" i="23"/>
  <c r="B17" i="23"/>
  <c r="N13" i="23"/>
  <c r="F44" i="23"/>
  <c r="G20" i="23" a="1"/>
  <c r="D26" i="23"/>
  <c r="N24" i="23" a="1"/>
  <c r="M17" i="23" a="1"/>
  <c r="C11" i="23" a="1"/>
  <c r="F43" i="23"/>
  <c r="K25" i="23"/>
  <c r="N16" i="23" a="1"/>
  <c r="O21" i="23"/>
  <c r="K36" i="23"/>
  <c r="J15" i="23" a="1"/>
  <c r="B19" i="23" a="1"/>
  <c r="O36" i="23"/>
  <c r="B14" i="23" a="1"/>
  <c r="G24" i="23" a="1"/>
  <c r="O14" i="23" a="1"/>
  <c r="D16" i="23" a="1"/>
  <c r="D22" i="23" a="1"/>
  <c r="G15" i="23" a="1"/>
  <c r="D21" i="23"/>
  <c r="D9" i="23"/>
  <c r="K40" i="23" a="1"/>
  <c r="O15" i="23" a="1"/>
  <c r="K42" i="23"/>
  <c r="G29" i="23" a="1"/>
  <c r="F39" i="23"/>
  <c r="H21" i="23"/>
  <c r="M18" i="23" a="1"/>
  <c r="L20" i="23" a="1"/>
  <c r="F38" i="23"/>
  <c r="D12" i="23" a="1"/>
  <c r="N10" i="23"/>
  <c r="H9" i="23"/>
  <c r="G16" i="23" a="1"/>
  <c r="C13" i="23" a="1"/>
  <c r="F42" i="23"/>
  <c r="N9" i="23"/>
  <c r="H17" i="23" a="1"/>
  <c r="O18" i="23" a="1"/>
  <c r="F40" i="23"/>
  <c r="O34" i="23"/>
  <c r="E15" i="23" a="1"/>
  <c r="F41" i="23" a="1"/>
  <c r="F14" i="23"/>
  <c r="K16" i="23" a="1"/>
  <c r="O41" i="23" a="1"/>
  <c r="H11" i="23" a="1"/>
  <c r="N11" i="23" a="1"/>
  <c r="F37" i="23"/>
  <c r="F34" i="23"/>
  <c r="K35" i="23"/>
  <c r="M15" i="23"/>
  <c r="D20" i="23" a="1"/>
  <c r="K24" i="23" a="1"/>
  <c r="L23" i="23" a="1"/>
  <c r="N12" i="23" a="1"/>
  <c r="K38" i="23" a="1"/>
  <c r="I13" i="23" a="1"/>
  <c r="F17" i="23" a="1"/>
  <c r="D10" i="23" a="1"/>
  <c r="B15" i="23" a="1"/>
  <c r="L13" i="23"/>
  <c r="D23" i="23" a="1"/>
  <c r="F35" i="23"/>
  <c r="C19" i="23" a="1"/>
  <c r="K43" i="23" a="1"/>
  <c r="H14" i="23" a="1"/>
  <c r="M14" i="23" a="1"/>
  <c r="M14" i="23"/>
  <c r="X12" i="7"/>
  <c r="T12" i="7"/>
  <c r="D16" i="23"/>
  <c r="AF12" i="7"/>
  <c r="G15" i="23"/>
  <c r="AB12" i="7"/>
  <c r="J9" i="7"/>
  <c r="A83" i="18"/>
  <c r="AN83" i="18"/>
  <c r="A84" i="18"/>
  <c r="AN84" i="18"/>
  <c r="A89" i="18"/>
  <c r="L6" i="7"/>
  <c r="A69" i="19"/>
  <c r="AN69" i="19"/>
  <c r="A85" i="18"/>
  <c r="AN85" i="18"/>
  <c r="A80" i="18"/>
  <c r="B81" i="18"/>
  <c r="A86" i="18"/>
  <c r="AN86" i="18"/>
  <c r="A81" i="18"/>
  <c r="AN81" i="18"/>
  <c r="A87" i="18"/>
  <c r="AN87" i="18"/>
  <c r="A82" i="18"/>
  <c r="AN82" i="18"/>
  <c r="A88" i="18"/>
  <c r="AN88" i="18"/>
  <c r="N9" i="7"/>
  <c r="M15" i="7"/>
  <c r="A62" i="18"/>
  <c r="AN62" i="18"/>
  <c r="A56" i="18"/>
  <c r="B57" i="18"/>
  <c r="L9" i="7"/>
  <c r="A63" i="18"/>
  <c r="AN63" i="18"/>
  <c r="A58" i="18"/>
  <c r="AN58" i="18"/>
  <c r="A64" i="18"/>
  <c r="AN64" i="18"/>
  <c r="A61" i="18"/>
  <c r="AN61" i="18"/>
  <c r="A59" i="18"/>
  <c r="AN59" i="18"/>
  <c r="A65" i="18"/>
  <c r="M9" i="7"/>
  <c r="A37" i="18"/>
  <c r="AN37" i="18"/>
  <c r="A60" i="18"/>
  <c r="AN60" i="18"/>
  <c r="A57" i="18"/>
  <c r="AN57" i="18"/>
  <c r="A35" i="18"/>
  <c r="AN35" i="18"/>
  <c r="A40" i="18"/>
  <c r="AN40" i="18"/>
  <c r="K9" i="7"/>
  <c r="A36" i="18"/>
  <c r="AN36" i="18"/>
  <c r="A32" i="18"/>
  <c r="B33" i="18"/>
  <c r="A41" i="18"/>
  <c r="A38" i="18"/>
  <c r="AN38" i="18"/>
  <c r="A35" i="19"/>
  <c r="AN35" i="19"/>
  <c r="A31" i="19"/>
  <c r="AN31" i="19"/>
  <c r="A33" i="19"/>
  <c r="AN33" i="19"/>
  <c r="A32" i="19"/>
  <c r="AN32" i="19"/>
  <c r="A34" i="19"/>
  <c r="AN34" i="19"/>
  <c r="A30" i="19"/>
  <c r="AN30" i="19"/>
  <c r="A37" i="19"/>
  <c r="A29" i="19"/>
  <c r="AN29" i="19"/>
  <c r="A36" i="19"/>
  <c r="AN36" i="19"/>
  <c r="A28" i="19"/>
  <c r="B29" i="19"/>
  <c r="A39" i="18"/>
  <c r="AN39" i="18"/>
  <c r="A34" i="18"/>
  <c r="AN34" i="18"/>
  <c r="A33" i="18"/>
  <c r="AN33" i="18"/>
  <c r="A77" i="19"/>
  <c r="A76" i="19"/>
  <c r="AN76" i="19"/>
  <c r="A75" i="19"/>
  <c r="AN75" i="19"/>
  <c r="A71" i="19"/>
  <c r="AN71" i="19"/>
  <c r="A68" i="19"/>
  <c r="B69" i="19"/>
  <c r="A72" i="19"/>
  <c r="AN72" i="19"/>
  <c r="A74" i="19"/>
  <c r="AN74" i="19"/>
  <c r="A70" i="19"/>
  <c r="AN70" i="19"/>
  <c r="A73" i="19"/>
  <c r="AN73" i="19"/>
  <c r="K12" i="7"/>
  <c r="A52" i="19"/>
  <c r="AN52" i="19"/>
  <c r="A56" i="19"/>
  <c r="AN56" i="19"/>
  <c r="A57" i="19"/>
  <c r="A53" i="19"/>
  <c r="AN53" i="19"/>
  <c r="A48" i="19"/>
  <c r="B49" i="19"/>
  <c r="E49" i="19"/>
  <c r="A51" i="19"/>
  <c r="AN51" i="19"/>
  <c r="A50" i="19"/>
  <c r="AN50" i="19"/>
  <c r="A54" i="19"/>
  <c r="AN54" i="19"/>
  <c r="A49" i="19"/>
  <c r="AN49" i="19"/>
  <c r="A55" i="19"/>
  <c r="AN55" i="19"/>
  <c r="J12" i="7"/>
  <c r="AN13" i="19"/>
  <c r="AN9" i="19"/>
  <c r="AN15" i="19"/>
  <c r="AN10" i="19"/>
  <c r="AN16" i="19"/>
  <c r="AN12" i="19"/>
  <c r="AN11" i="19"/>
  <c r="AN14" i="19"/>
  <c r="AN16" i="18"/>
  <c r="AN9" i="18"/>
  <c r="AN11" i="18"/>
  <c r="AN15" i="18"/>
  <c r="AN12" i="18"/>
  <c r="AN10" i="18"/>
  <c r="AN13" i="18"/>
  <c r="AN14" i="18"/>
  <c r="J6" i="7"/>
  <c r="D10" i="23"/>
  <c r="C13" i="23"/>
  <c r="M6" i="7"/>
  <c r="N15" i="7"/>
  <c r="G20" i="23"/>
  <c r="H11" i="23"/>
  <c r="H14" i="23"/>
  <c r="D23" i="23"/>
  <c r="I13" i="23"/>
  <c r="L23" i="23"/>
  <c r="N12" i="23"/>
  <c r="D22" i="23"/>
  <c r="C11" i="23"/>
  <c r="D20" i="23"/>
  <c r="F26" i="23"/>
  <c r="C19" i="23"/>
  <c r="AT6" i="7"/>
  <c r="L12" i="7"/>
  <c r="AY9" i="7"/>
  <c r="R6" i="7"/>
  <c r="I6" i="7"/>
  <c r="N12" i="7"/>
  <c r="K15" i="7"/>
  <c r="L15" i="7"/>
  <c r="J15" i="7"/>
  <c r="D12" i="23"/>
  <c r="B19" i="23"/>
  <c r="N11" i="23"/>
  <c r="O15" i="23"/>
  <c r="O6" i="7"/>
  <c r="K6" i="7"/>
  <c r="BN43" i="2"/>
  <c r="BO43" i="2"/>
  <c r="BN42" i="2"/>
  <c r="BO42" i="2"/>
  <c r="BN41" i="2"/>
  <c r="BO41" i="2"/>
  <c r="BN35" i="2"/>
  <c r="BO35" i="2"/>
  <c r="BN34" i="2"/>
  <c r="BO34" i="2"/>
  <c r="BN33" i="2"/>
  <c r="BO33" i="2"/>
  <c r="BN32" i="2"/>
  <c r="BO32" i="2"/>
  <c r="BN31" i="2"/>
  <c r="BO31" i="2"/>
  <c r="BN30" i="2"/>
  <c r="BO30" i="2"/>
  <c r="BN29" i="2"/>
  <c r="BO29" i="2"/>
  <c r="BN28" i="2"/>
  <c r="BO28" i="2"/>
  <c r="BN27" i="2"/>
  <c r="BO27" i="2"/>
  <c r="BN26" i="2"/>
  <c r="BO26" i="2"/>
  <c r="BN25" i="2"/>
  <c r="BO25" i="2"/>
  <c r="BN24" i="2"/>
  <c r="BO24" i="2"/>
  <c r="CQ2" i="9"/>
  <c r="D4" i="17"/>
  <c r="CR4" i="9"/>
  <c r="D13" i="17"/>
  <c r="CQ4" i="9"/>
  <c r="D12" i="17"/>
  <c r="B14" i="23"/>
  <c r="F17" i="23"/>
  <c r="O41" i="23"/>
  <c r="H17" i="23"/>
  <c r="K43" i="23"/>
  <c r="M17" i="23"/>
  <c r="O14" i="23"/>
  <c r="M18" i="23"/>
  <c r="B15" i="23"/>
  <c r="O18" i="23"/>
  <c r="K38" i="23"/>
  <c r="G29" i="23"/>
  <c r="L20" i="23"/>
  <c r="J15" i="23"/>
  <c r="G24" i="23"/>
  <c r="K24" i="23"/>
  <c r="K40" i="23"/>
  <c r="E15" i="23"/>
  <c r="N24" i="23"/>
  <c r="G16" i="23"/>
  <c r="K16" i="23"/>
  <c r="N16" i="23"/>
  <c r="F41" i="23"/>
  <c r="U6" i="7"/>
  <c r="AK6" i="7"/>
  <c r="BR6" i="7"/>
  <c r="CH6" i="7"/>
  <c r="V6" i="7"/>
  <c r="AL6" i="7"/>
  <c r="BW6" i="7"/>
  <c r="CM6" i="7"/>
  <c r="AM6" i="7"/>
  <c r="BT6" i="7"/>
  <c r="CJ6" i="7"/>
  <c r="Y6" i="7"/>
  <c r="AO6" i="7"/>
  <c r="BV6" i="7"/>
  <c r="CL6" i="7"/>
  <c r="CR5" i="9"/>
  <c r="D17" i="17"/>
  <c r="BP15" i="7"/>
  <c r="Z6" i="7"/>
  <c r="AP6" i="7"/>
  <c r="CA6" i="7"/>
  <c r="AU6" i="7"/>
  <c r="BX6" i="7"/>
  <c r="CN6" i="7"/>
  <c r="CR3" i="9"/>
  <c r="D9" i="17"/>
  <c r="BP9" i="7"/>
  <c r="AC6" i="7"/>
  <c r="BJ6" i="7"/>
  <c r="BZ6" i="7"/>
  <c r="AD6" i="7"/>
  <c r="BK6" i="7"/>
  <c r="CE6" i="7"/>
  <c r="AA6" i="7"/>
  <c r="BL6" i="7"/>
  <c r="CB6" i="7"/>
  <c r="CQ5" i="9"/>
  <c r="D16" i="17"/>
  <c r="AG6" i="7"/>
  <c r="BN6" i="7"/>
  <c r="CD6" i="7"/>
  <c r="AH6" i="7"/>
  <c r="BS6" i="7"/>
  <c r="CI6" i="7"/>
  <c r="AI6" i="7"/>
  <c r="CR2" i="9"/>
  <c r="D5" i="17"/>
  <c r="CF6" i="7"/>
  <c r="AW6" i="7"/>
  <c r="AV6" i="7"/>
  <c r="CQ3" i="9"/>
  <c r="D8" i="17"/>
  <c r="BZ28" i="2"/>
  <c r="CA28" i="2"/>
  <c r="C57" i="18"/>
  <c r="C29" i="19"/>
  <c r="C69" i="19"/>
  <c r="D69" i="19"/>
  <c r="E69" i="19"/>
  <c r="C49" i="19"/>
  <c r="D49" i="19"/>
  <c r="F69" i="19"/>
  <c r="AO69" i="19"/>
  <c r="AP69" i="19"/>
  <c r="F49" i="19"/>
  <c r="AO49" i="19"/>
  <c r="AP49" i="19"/>
  <c r="F29" i="19"/>
  <c r="AO29" i="19"/>
  <c r="AP29" i="19"/>
  <c r="AO9" i="19"/>
  <c r="AP9" i="19"/>
  <c r="C81" i="18"/>
  <c r="F57" i="18"/>
  <c r="AO57" i="18"/>
  <c r="AP57" i="18"/>
  <c r="G29" i="19"/>
  <c r="B30" i="19"/>
  <c r="E30" i="19"/>
  <c r="C33" i="18"/>
  <c r="I29" i="19"/>
  <c r="G69" i="19"/>
  <c r="B70" i="19"/>
  <c r="I69" i="19"/>
  <c r="I49" i="19"/>
  <c r="G49" i="19"/>
  <c r="B50" i="19"/>
  <c r="E50" i="19"/>
  <c r="AO9" i="18"/>
  <c r="AP9" i="18"/>
  <c r="F81" i="18"/>
  <c r="AO81" i="18"/>
  <c r="AP81" i="18"/>
  <c r="F33" i="18"/>
  <c r="AO33" i="18"/>
  <c r="AP33" i="18"/>
  <c r="I81" i="18"/>
  <c r="G57" i="18"/>
  <c r="B58" i="18"/>
  <c r="E58" i="18"/>
  <c r="G81" i="18"/>
  <c r="B82" i="18"/>
  <c r="E82" i="18"/>
  <c r="I57" i="18"/>
  <c r="I33" i="18"/>
  <c r="R57" i="18"/>
  <c r="N57" i="18"/>
  <c r="M57" i="18"/>
  <c r="L57" i="18"/>
  <c r="U57" i="18"/>
  <c r="V57" i="18"/>
  <c r="W57" i="18"/>
  <c r="S57" i="18"/>
  <c r="C30" i="19"/>
  <c r="D30" i="19"/>
  <c r="G33" i="18"/>
  <c r="B34" i="18"/>
  <c r="E34" i="18"/>
  <c r="AD29" i="19"/>
  <c r="Y29" i="19"/>
  <c r="Z29" i="19"/>
  <c r="AB29" i="19"/>
  <c r="AC29" i="19"/>
  <c r="O29" i="19"/>
  <c r="M29" i="19"/>
  <c r="S29" i="19"/>
  <c r="V29" i="19"/>
  <c r="W29" i="19"/>
  <c r="U29" i="19"/>
  <c r="X29" i="19"/>
  <c r="AE29" i="19"/>
  <c r="AF29" i="19"/>
  <c r="N29" i="19"/>
  <c r="L29" i="19"/>
  <c r="Q29" i="19"/>
  <c r="P29" i="19"/>
  <c r="AA29" i="19"/>
  <c r="AB69" i="19"/>
  <c r="AC69" i="19"/>
  <c r="Y69" i="19"/>
  <c r="Z69" i="19"/>
  <c r="U69" i="19"/>
  <c r="L69" i="19"/>
  <c r="AD69" i="19"/>
  <c r="Q69" i="19"/>
  <c r="M69" i="19"/>
  <c r="AA69" i="19"/>
  <c r="X69" i="19"/>
  <c r="S69" i="19"/>
  <c r="O69" i="19"/>
  <c r="AE69" i="19"/>
  <c r="AF69" i="19"/>
  <c r="V69" i="19"/>
  <c r="W69" i="19"/>
  <c r="N69" i="19"/>
  <c r="P69" i="19"/>
  <c r="C70" i="19"/>
  <c r="D70" i="19"/>
  <c r="E70" i="19"/>
  <c r="L49" i="19"/>
  <c r="M49" i="19"/>
  <c r="C50" i="19"/>
  <c r="D50" i="19"/>
  <c r="L9" i="18"/>
  <c r="M9" i="18"/>
  <c r="N9" i="18"/>
  <c r="R9" i="18"/>
  <c r="R9" i="19"/>
  <c r="L9" i="19"/>
  <c r="M9" i="19"/>
  <c r="AH29" i="19"/>
  <c r="AK29" i="19"/>
  <c r="R29" i="19"/>
  <c r="S9" i="18"/>
  <c r="AH69" i="19"/>
  <c r="AK69" i="19"/>
  <c r="R69" i="19"/>
  <c r="N49" i="19"/>
  <c r="U49" i="19"/>
  <c r="V49" i="19"/>
  <c r="W49" i="19"/>
  <c r="R49" i="19"/>
  <c r="S49" i="19"/>
  <c r="O57" i="18"/>
  <c r="F50" i="19"/>
  <c r="AO50" i="19"/>
  <c r="AP50" i="19"/>
  <c r="F30" i="19"/>
  <c r="AO30" i="19"/>
  <c r="AP30" i="19"/>
  <c r="F70" i="19"/>
  <c r="AO70" i="19"/>
  <c r="AP70" i="19"/>
  <c r="N9" i="19"/>
  <c r="S9" i="19"/>
  <c r="T9" i="19"/>
  <c r="C58" i="18"/>
  <c r="D58" i="18"/>
  <c r="C82" i="18"/>
  <c r="D82" i="18"/>
  <c r="L81" i="18"/>
  <c r="R81" i="18"/>
  <c r="I30" i="19"/>
  <c r="J29" i="19"/>
  <c r="I70" i="19"/>
  <c r="J69" i="19"/>
  <c r="T57" i="18"/>
  <c r="R33" i="18"/>
  <c r="L33" i="18"/>
  <c r="T29" i="19"/>
  <c r="AG29" i="19"/>
  <c r="C34" i="18"/>
  <c r="D34" i="18"/>
  <c r="G30" i="19"/>
  <c r="B31" i="19"/>
  <c r="E31" i="19"/>
  <c r="T69" i="19"/>
  <c r="AG69" i="19"/>
  <c r="G70" i="19"/>
  <c r="B71" i="19"/>
  <c r="G50" i="19"/>
  <c r="B51" i="19"/>
  <c r="E51" i="19"/>
  <c r="I50" i="19"/>
  <c r="J49" i="19"/>
  <c r="U9" i="18"/>
  <c r="O9" i="18"/>
  <c r="I10" i="19"/>
  <c r="J9" i="19"/>
  <c r="AI29" i="19"/>
  <c r="I10" i="18"/>
  <c r="J9" i="18"/>
  <c r="AI69" i="19"/>
  <c r="AM69" i="19"/>
  <c r="T49" i="19"/>
  <c r="O49" i="19"/>
  <c r="X49" i="19"/>
  <c r="Y49" i="19"/>
  <c r="Z49" i="19"/>
  <c r="M81" i="18"/>
  <c r="Q57" i="18"/>
  <c r="P57" i="18"/>
  <c r="AD57" i="18"/>
  <c r="AE57" i="18"/>
  <c r="AF57" i="18"/>
  <c r="X57" i="18"/>
  <c r="Y57" i="18"/>
  <c r="F34" i="18"/>
  <c r="AO34" i="18"/>
  <c r="AP34" i="18"/>
  <c r="F82" i="18"/>
  <c r="AO82" i="18"/>
  <c r="AP82" i="18"/>
  <c r="F58" i="18"/>
  <c r="AO58" i="18"/>
  <c r="AP58" i="18"/>
  <c r="M33" i="18"/>
  <c r="AO10" i="18"/>
  <c r="AP10" i="18"/>
  <c r="AO10" i="19"/>
  <c r="AP10" i="19"/>
  <c r="O9" i="19"/>
  <c r="X9" i="19"/>
  <c r="Y9" i="19"/>
  <c r="Z9" i="19"/>
  <c r="U9" i="19"/>
  <c r="V9" i="19"/>
  <c r="W9" i="19"/>
  <c r="R10" i="19"/>
  <c r="L10" i="19"/>
  <c r="M10" i="19"/>
  <c r="G58" i="18"/>
  <c r="I58" i="18"/>
  <c r="J57" i="18"/>
  <c r="E71" i="19"/>
  <c r="G82" i="18"/>
  <c r="B83" i="18"/>
  <c r="E83" i="18"/>
  <c r="I82" i="18"/>
  <c r="J81" i="18"/>
  <c r="AM29" i="19"/>
  <c r="G34" i="18"/>
  <c r="B35" i="18"/>
  <c r="E35" i="18"/>
  <c r="AD82" i="18"/>
  <c r="I34" i="18"/>
  <c r="J33" i="18"/>
  <c r="P30" i="19"/>
  <c r="AA30" i="19"/>
  <c r="V30" i="19"/>
  <c r="W30" i="19"/>
  <c r="U30" i="19"/>
  <c r="AB30" i="19"/>
  <c r="AC30" i="19"/>
  <c r="R30" i="19"/>
  <c r="O30" i="19"/>
  <c r="N30" i="19"/>
  <c r="X30" i="19"/>
  <c r="AE30" i="19"/>
  <c r="AF30" i="19"/>
  <c r="Y30" i="19"/>
  <c r="Z30" i="19"/>
  <c r="L30" i="19"/>
  <c r="S30" i="19"/>
  <c r="Q30" i="19"/>
  <c r="M30" i="19"/>
  <c r="AD30" i="19"/>
  <c r="C31" i="19"/>
  <c r="D31" i="19"/>
  <c r="AL29" i="19"/>
  <c r="V70" i="19"/>
  <c r="W70" i="19"/>
  <c r="X70" i="19"/>
  <c r="AE70" i="19"/>
  <c r="AF70" i="19"/>
  <c r="U70" i="19"/>
  <c r="AA70" i="19"/>
  <c r="Q70" i="19"/>
  <c r="AD70" i="19"/>
  <c r="AB70" i="19"/>
  <c r="AC70" i="19"/>
  <c r="R70" i="19"/>
  <c r="O70" i="19"/>
  <c r="Y70" i="19"/>
  <c r="Z70" i="19"/>
  <c r="P70" i="19"/>
  <c r="N70" i="19"/>
  <c r="L70" i="19"/>
  <c r="S70" i="19"/>
  <c r="M70" i="19"/>
  <c r="C71" i="19"/>
  <c r="D71" i="19"/>
  <c r="F71" i="19"/>
  <c r="AO71" i="19"/>
  <c r="AP71" i="19"/>
  <c r="AD50" i="19"/>
  <c r="AA50" i="19"/>
  <c r="P50" i="19"/>
  <c r="AE50" i="19"/>
  <c r="AF50" i="19"/>
  <c r="O50" i="19"/>
  <c r="Q50" i="19"/>
  <c r="X50" i="19"/>
  <c r="R50" i="19"/>
  <c r="N50" i="19"/>
  <c r="M50" i="19"/>
  <c r="V50" i="19"/>
  <c r="W50" i="19"/>
  <c r="Y50" i="19"/>
  <c r="Z50" i="19"/>
  <c r="L50" i="19"/>
  <c r="S50" i="19"/>
  <c r="U50" i="19"/>
  <c r="AB50" i="19"/>
  <c r="AC50" i="19"/>
  <c r="C51" i="19"/>
  <c r="D51" i="19"/>
  <c r="X9" i="18"/>
  <c r="P9" i="18"/>
  <c r="Q9" i="18"/>
  <c r="AL69" i="19"/>
  <c r="Q49" i="19"/>
  <c r="P49" i="19"/>
  <c r="AD49" i="19"/>
  <c r="AE49" i="19"/>
  <c r="AF49" i="19"/>
  <c r="N81" i="18"/>
  <c r="AE82" i="18"/>
  <c r="AF82" i="18"/>
  <c r="O82" i="18"/>
  <c r="S81" i="18"/>
  <c r="AA57" i="18"/>
  <c r="AB57" i="18"/>
  <c r="AC57" i="18"/>
  <c r="Z57" i="18"/>
  <c r="AH57" i="18"/>
  <c r="F31" i="19"/>
  <c r="AO31" i="19"/>
  <c r="AP31" i="19"/>
  <c r="F51" i="19"/>
  <c r="AO51" i="19"/>
  <c r="AP51" i="19"/>
  <c r="X58" i="18"/>
  <c r="R58" i="18"/>
  <c r="Y58" i="18"/>
  <c r="Z58" i="18"/>
  <c r="N58" i="18"/>
  <c r="V58" i="18"/>
  <c r="W58" i="18"/>
  <c r="AB58" i="18"/>
  <c r="AC58" i="18"/>
  <c r="L58" i="18"/>
  <c r="AE58" i="18"/>
  <c r="AF58" i="18"/>
  <c r="M58" i="18"/>
  <c r="AA58" i="18"/>
  <c r="P58" i="18"/>
  <c r="U58" i="18"/>
  <c r="O58" i="18"/>
  <c r="Q58" i="18"/>
  <c r="AD58" i="18"/>
  <c r="S58" i="18"/>
  <c r="T58" i="18"/>
  <c r="B59" i="18"/>
  <c r="E59" i="18"/>
  <c r="N33" i="18"/>
  <c r="S33" i="18"/>
  <c r="O10" i="18"/>
  <c r="X10" i="18"/>
  <c r="Y10" i="18"/>
  <c r="Z10" i="18"/>
  <c r="Q10" i="18"/>
  <c r="P10" i="18"/>
  <c r="R10" i="18"/>
  <c r="U10" i="18"/>
  <c r="V10" i="18"/>
  <c r="W10" i="18"/>
  <c r="L10" i="18"/>
  <c r="AA10" i="18"/>
  <c r="AB10" i="18"/>
  <c r="AC10" i="18"/>
  <c r="M10" i="18"/>
  <c r="N10" i="18"/>
  <c r="S10" i="18"/>
  <c r="T10" i="18"/>
  <c r="S10" i="19"/>
  <c r="T10" i="19"/>
  <c r="N10" i="19"/>
  <c r="P9" i="19"/>
  <c r="Q9" i="19"/>
  <c r="S82" i="18"/>
  <c r="T82" i="18"/>
  <c r="AA82" i="18"/>
  <c r="AB82" i="18"/>
  <c r="AC82" i="18"/>
  <c r="U82" i="18"/>
  <c r="R82" i="18"/>
  <c r="L82" i="18"/>
  <c r="P82" i="18"/>
  <c r="S71" i="19"/>
  <c r="T71" i="19"/>
  <c r="N71" i="19"/>
  <c r="P71" i="19"/>
  <c r="X82" i="18"/>
  <c r="M82" i="18"/>
  <c r="Q82" i="18"/>
  <c r="V82" i="18"/>
  <c r="W82" i="18"/>
  <c r="Y82" i="18"/>
  <c r="Z82" i="18"/>
  <c r="N82" i="18"/>
  <c r="I71" i="19"/>
  <c r="J70" i="19"/>
  <c r="C83" i="18"/>
  <c r="D83" i="18"/>
  <c r="V71" i="19"/>
  <c r="W71" i="19"/>
  <c r="U71" i="19"/>
  <c r="L71" i="19"/>
  <c r="C35" i="18"/>
  <c r="AB71" i="19"/>
  <c r="AC71" i="19"/>
  <c r="AA71" i="19"/>
  <c r="AH30" i="19"/>
  <c r="AI30" i="19"/>
  <c r="AJ30" i="19"/>
  <c r="R71" i="19"/>
  <c r="AH70" i="19"/>
  <c r="AK70" i="19"/>
  <c r="Y71" i="19"/>
  <c r="Z71" i="19"/>
  <c r="T30" i="19"/>
  <c r="AG30" i="19"/>
  <c r="G31" i="19"/>
  <c r="B32" i="19"/>
  <c r="E32" i="19"/>
  <c r="I31" i="19"/>
  <c r="J30" i="19"/>
  <c r="O34" i="18"/>
  <c r="N34" i="18"/>
  <c r="M34" i="18"/>
  <c r="X34" i="18"/>
  <c r="AA34" i="18"/>
  <c r="U34" i="18"/>
  <c r="S34" i="18"/>
  <c r="Q34" i="18"/>
  <c r="AE34" i="18"/>
  <c r="AF34" i="18"/>
  <c r="AD34" i="18"/>
  <c r="Y34" i="18"/>
  <c r="Z34" i="18"/>
  <c r="P34" i="18"/>
  <c r="R34" i="18"/>
  <c r="V34" i="18"/>
  <c r="W34" i="18"/>
  <c r="AB34" i="18"/>
  <c r="AC34" i="18"/>
  <c r="L34" i="18"/>
  <c r="X71" i="19"/>
  <c r="T70" i="19"/>
  <c r="AG70" i="19"/>
  <c r="G71" i="19"/>
  <c r="B72" i="19"/>
  <c r="AE71" i="19"/>
  <c r="AF71" i="19"/>
  <c r="O71" i="19"/>
  <c r="M71" i="19"/>
  <c r="Q71" i="19"/>
  <c r="AD71" i="19"/>
  <c r="G51" i="19"/>
  <c r="B52" i="19"/>
  <c r="E52" i="19"/>
  <c r="I51" i="19"/>
  <c r="J50" i="19"/>
  <c r="T50" i="19"/>
  <c r="AG50" i="19"/>
  <c r="AA9" i="18"/>
  <c r="AD9" i="18"/>
  <c r="AD10" i="18"/>
  <c r="AE10" i="18"/>
  <c r="AF10" i="18"/>
  <c r="AO11" i="19"/>
  <c r="AP11" i="19"/>
  <c r="I35" i="18"/>
  <c r="J34" i="18"/>
  <c r="D35" i="18"/>
  <c r="AA49" i="19"/>
  <c r="AB49" i="19"/>
  <c r="AG57" i="18"/>
  <c r="O81" i="18"/>
  <c r="T81" i="18"/>
  <c r="U81" i="18"/>
  <c r="V81" i="18"/>
  <c r="W81" i="18"/>
  <c r="AI57" i="18"/>
  <c r="AK57" i="18"/>
  <c r="AG58" i="18"/>
  <c r="F83" i="18"/>
  <c r="AO83" i="18"/>
  <c r="AP83" i="18"/>
  <c r="C59" i="18"/>
  <c r="F35" i="18"/>
  <c r="AO35" i="18"/>
  <c r="AP35" i="18"/>
  <c r="T33" i="18"/>
  <c r="O33" i="18"/>
  <c r="X33" i="18"/>
  <c r="Y33" i="18"/>
  <c r="Z33" i="18"/>
  <c r="U33" i="18"/>
  <c r="V33" i="18"/>
  <c r="W33" i="18"/>
  <c r="AO11" i="18"/>
  <c r="AP11" i="18"/>
  <c r="I11" i="18"/>
  <c r="J10" i="18"/>
  <c r="O10" i="19"/>
  <c r="X10" i="19"/>
  <c r="Y10" i="19"/>
  <c r="Z10" i="19"/>
  <c r="U10" i="19"/>
  <c r="V10" i="19"/>
  <c r="W10" i="19"/>
  <c r="AD9" i="19"/>
  <c r="AE9" i="19"/>
  <c r="AF9" i="19"/>
  <c r="AA9" i="19"/>
  <c r="AB9" i="19"/>
  <c r="AG82" i="18"/>
  <c r="E72" i="19"/>
  <c r="G83" i="18"/>
  <c r="B84" i="18"/>
  <c r="E84" i="18"/>
  <c r="I83" i="18"/>
  <c r="J82" i="18"/>
  <c r="AI70" i="19"/>
  <c r="G35" i="18"/>
  <c r="B36" i="18"/>
  <c r="E36" i="18"/>
  <c r="AK30" i="19"/>
  <c r="AG71" i="19"/>
  <c r="C72" i="19"/>
  <c r="D72" i="19"/>
  <c r="G72" i="19"/>
  <c r="B73" i="19"/>
  <c r="C32" i="19"/>
  <c r="D32" i="19"/>
  <c r="AG34" i="18"/>
  <c r="T34" i="18"/>
  <c r="N31" i="19"/>
  <c r="M31" i="19"/>
  <c r="L31" i="19"/>
  <c r="S31" i="19"/>
  <c r="AD31" i="19"/>
  <c r="Y31" i="19"/>
  <c r="Z31" i="19"/>
  <c r="AB31" i="19"/>
  <c r="AC31" i="19"/>
  <c r="R31" i="19"/>
  <c r="O31" i="19"/>
  <c r="U31" i="19"/>
  <c r="AE31" i="19"/>
  <c r="AF31" i="19"/>
  <c r="Q31" i="19"/>
  <c r="P31" i="19"/>
  <c r="AA31" i="19"/>
  <c r="V31" i="19"/>
  <c r="W31" i="19"/>
  <c r="X31" i="19"/>
  <c r="AB51" i="19"/>
  <c r="AC51" i="19"/>
  <c r="R51" i="19"/>
  <c r="O51" i="19"/>
  <c r="N51" i="19"/>
  <c r="M51" i="19"/>
  <c r="L51" i="19"/>
  <c r="Q51" i="19"/>
  <c r="X51" i="19"/>
  <c r="AE51" i="19"/>
  <c r="AF51" i="19"/>
  <c r="AD51" i="19"/>
  <c r="Y51" i="19"/>
  <c r="Z51" i="19"/>
  <c r="P51" i="19"/>
  <c r="AA51" i="19"/>
  <c r="V51" i="19"/>
  <c r="W51" i="19"/>
  <c r="U51" i="19"/>
  <c r="S51" i="19"/>
  <c r="C52" i="19"/>
  <c r="D52" i="19"/>
  <c r="AG10" i="18"/>
  <c r="I11" i="19"/>
  <c r="J10" i="19"/>
  <c r="AJ70" i="19"/>
  <c r="AM70" i="19"/>
  <c r="AH71" i="19"/>
  <c r="D59" i="18"/>
  <c r="F59" i="18"/>
  <c r="AC49" i="19"/>
  <c r="AH49" i="19"/>
  <c r="AG49" i="19"/>
  <c r="AL57" i="18"/>
  <c r="AA83" i="18"/>
  <c r="Q81" i="18"/>
  <c r="P81" i="18"/>
  <c r="AD81" i="18"/>
  <c r="AE81" i="18"/>
  <c r="AF81" i="18"/>
  <c r="X81" i="18"/>
  <c r="Y81" i="18"/>
  <c r="AM57" i="18"/>
  <c r="AH58" i="18"/>
  <c r="F52" i="19"/>
  <c r="AO52" i="19"/>
  <c r="AP52" i="19"/>
  <c r="F32" i="19"/>
  <c r="AO32" i="19"/>
  <c r="AP32" i="19"/>
  <c r="F72" i="19"/>
  <c r="AO72" i="19"/>
  <c r="AP72" i="19"/>
  <c r="I59" i="18"/>
  <c r="J58" i="18"/>
  <c r="G59" i="18"/>
  <c r="B60" i="18"/>
  <c r="E60" i="18"/>
  <c r="O35" i="18"/>
  <c r="Q33" i="18"/>
  <c r="P33" i="18"/>
  <c r="R11" i="18"/>
  <c r="L11" i="18"/>
  <c r="Q10" i="19"/>
  <c r="P10" i="19"/>
  <c r="AC9" i="19"/>
  <c r="AG9" i="19"/>
  <c r="M11" i="18"/>
  <c r="AL70" i="19"/>
  <c r="AB83" i="18"/>
  <c r="AC83" i="18"/>
  <c r="AE83" i="18"/>
  <c r="AF83" i="18"/>
  <c r="S83" i="18"/>
  <c r="T83" i="18"/>
  <c r="Y83" i="18"/>
  <c r="Z83" i="18"/>
  <c r="AD83" i="18"/>
  <c r="V83" i="18"/>
  <c r="W83" i="18"/>
  <c r="U83" i="18"/>
  <c r="N83" i="18"/>
  <c r="P83" i="18"/>
  <c r="R83" i="18"/>
  <c r="M83" i="18"/>
  <c r="Q83" i="18"/>
  <c r="O83" i="18"/>
  <c r="X83" i="18"/>
  <c r="L83" i="18"/>
  <c r="C84" i="18"/>
  <c r="D84" i="18"/>
  <c r="I72" i="19"/>
  <c r="J71" i="19"/>
  <c r="R35" i="18"/>
  <c r="AB35" i="18"/>
  <c r="AC35" i="18"/>
  <c r="AD35" i="18"/>
  <c r="X35" i="18"/>
  <c r="Q35" i="18"/>
  <c r="AE35" i="18"/>
  <c r="AF35" i="18"/>
  <c r="U35" i="18"/>
  <c r="M35" i="18"/>
  <c r="Y35" i="18"/>
  <c r="Z35" i="18"/>
  <c r="S35" i="18"/>
  <c r="T35" i="18"/>
  <c r="P35" i="18"/>
  <c r="AA35" i="18"/>
  <c r="L35" i="18"/>
  <c r="C36" i="18"/>
  <c r="D36" i="18"/>
  <c r="N35" i="18"/>
  <c r="V35" i="18"/>
  <c r="W35" i="18"/>
  <c r="AL30" i="19"/>
  <c r="AM30" i="19"/>
  <c r="AH31" i="19"/>
  <c r="I32" i="19"/>
  <c r="J31" i="19"/>
  <c r="G32" i="19"/>
  <c r="B33" i="19"/>
  <c r="E33" i="19"/>
  <c r="T31" i="19"/>
  <c r="AG31" i="19"/>
  <c r="I52" i="19"/>
  <c r="J51" i="19"/>
  <c r="G52" i="19"/>
  <c r="B53" i="19"/>
  <c r="E53" i="19"/>
  <c r="V72" i="19"/>
  <c r="W72" i="19"/>
  <c r="T51" i="19"/>
  <c r="AG51" i="19"/>
  <c r="C73" i="19"/>
  <c r="D73" i="19"/>
  <c r="E73" i="19"/>
  <c r="R11" i="19"/>
  <c r="L11" i="19"/>
  <c r="M11" i="19"/>
  <c r="AI71" i="19"/>
  <c r="AJ71" i="19"/>
  <c r="AK71" i="19"/>
  <c r="AL71" i="19"/>
  <c r="AO59" i="18"/>
  <c r="AP59" i="18"/>
  <c r="R59" i="18"/>
  <c r="Q59" i="18"/>
  <c r="L59" i="18"/>
  <c r="P59" i="18"/>
  <c r="M59" i="18"/>
  <c r="O59" i="18"/>
  <c r="AE59" i="18"/>
  <c r="AF59" i="18"/>
  <c r="N59" i="18"/>
  <c r="X59" i="18"/>
  <c r="AD59" i="18"/>
  <c r="AB59" i="18"/>
  <c r="AC59" i="18"/>
  <c r="U59" i="18"/>
  <c r="Y59" i="18"/>
  <c r="Z59" i="18"/>
  <c r="V59" i="18"/>
  <c r="W59" i="18"/>
  <c r="S59" i="18"/>
  <c r="T59" i="18"/>
  <c r="AA59" i="18"/>
  <c r="AK49" i="19"/>
  <c r="AI49" i="19"/>
  <c r="AM49" i="19"/>
  <c r="AH50" i="19"/>
  <c r="Z81" i="18"/>
  <c r="AA81" i="18"/>
  <c r="AI58" i="18"/>
  <c r="AJ58" i="18"/>
  <c r="AK58" i="18"/>
  <c r="AD33" i="18"/>
  <c r="AE33" i="18"/>
  <c r="AF33" i="18"/>
  <c r="N72" i="19"/>
  <c r="AB72" i="19"/>
  <c r="AC72" i="19"/>
  <c r="R72" i="19"/>
  <c r="F73" i="19"/>
  <c r="AO73" i="19"/>
  <c r="AP73" i="19"/>
  <c r="F36" i="18"/>
  <c r="AO36" i="18"/>
  <c r="AP36" i="18"/>
  <c r="F84" i="18"/>
  <c r="AO84" i="18"/>
  <c r="AP84" i="18"/>
  <c r="C60" i="18"/>
  <c r="D60" i="18"/>
  <c r="AA33" i="18"/>
  <c r="AB33" i="18"/>
  <c r="I12" i="18"/>
  <c r="J11" i="18"/>
  <c r="R12" i="18"/>
  <c r="N11" i="19"/>
  <c r="U11" i="19"/>
  <c r="V11" i="19"/>
  <c r="W11" i="19"/>
  <c r="S11" i="19"/>
  <c r="AD10" i="19"/>
  <c r="AE10" i="19"/>
  <c r="AF10" i="19"/>
  <c r="AA10" i="19"/>
  <c r="AB10" i="19"/>
  <c r="AK9" i="19"/>
  <c r="N11" i="18"/>
  <c r="S11" i="18"/>
  <c r="AG83" i="18"/>
  <c r="U72" i="19"/>
  <c r="Y72" i="19"/>
  <c r="Z72" i="19"/>
  <c r="AD72" i="19"/>
  <c r="AE72" i="19"/>
  <c r="AF72" i="19"/>
  <c r="O72" i="19"/>
  <c r="M72" i="19"/>
  <c r="Q72" i="19"/>
  <c r="S72" i="19"/>
  <c r="AA72" i="19"/>
  <c r="L72" i="19"/>
  <c r="X72" i="19"/>
  <c r="P72" i="19"/>
  <c r="I84" i="18"/>
  <c r="J83" i="18"/>
  <c r="G84" i="18"/>
  <c r="B85" i="18"/>
  <c r="E85" i="18"/>
  <c r="AG35" i="18"/>
  <c r="G36" i="18"/>
  <c r="B37" i="18"/>
  <c r="E37" i="18"/>
  <c r="I36" i="18"/>
  <c r="J35" i="18"/>
  <c r="AI31" i="19"/>
  <c r="AJ31" i="19"/>
  <c r="AK31" i="19"/>
  <c r="AM71" i="19"/>
  <c r="AH72" i="19"/>
  <c r="C33" i="19"/>
  <c r="D33" i="19"/>
  <c r="X32" i="19"/>
  <c r="AE32" i="19"/>
  <c r="AF32" i="19"/>
  <c r="AD32" i="19"/>
  <c r="Y32" i="19"/>
  <c r="Z32" i="19"/>
  <c r="P32" i="19"/>
  <c r="AA32" i="19"/>
  <c r="V32" i="19"/>
  <c r="W32" i="19"/>
  <c r="U32" i="19"/>
  <c r="R32" i="19"/>
  <c r="N32" i="19"/>
  <c r="L32" i="19"/>
  <c r="S32" i="19"/>
  <c r="Q32" i="19"/>
  <c r="AB32" i="19"/>
  <c r="AC32" i="19"/>
  <c r="O32" i="19"/>
  <c r="M32" i="19"/>
  <c r="I73" i="19"/>
  <c r="J72" i="19"/>
  <c r="G73" i="19"/>
  <c r="B74" i="19"/>
  <c r="V52" i="19"/>
  <c r="W52" i="19"/>
  <c r="U52" i="19"/>
  <c r="X52" i="19"/>
  <c r="AE52" i="19"/>
  <c r="AF52" i="19"/>
  <c r="Q52" i="19"/>
  <c r="P52" i="19"/>
  <c r="AA52" i="19"/>
  <c r="AD52" i="19"/>
  <c r="AB52" i="19"/>
  <c r="AC52" i="19"/>
  <c r="O52" i="19"/>
  <c r="N52" i="19"/>
  <c r="M52" i="19"/>
  <c r="L52" i="19"/>
  <c r="S52" i="19"/>
  <c r="Y52" i="19"/>
  <c r="Z52" i="19"/>
  <c r="R52" i="19"/>
  <c r="C53" i="19"/>
  <c r="D53" i="19"/>
  <c r="Y84" i="18"/>
  <c r="Z84" i="18"/>
  <c r="AG59" i="18"/>
  <c r="AL49" i="19"/>
  <c r="AI50" i="19"/>
  <c r="AJ50" i="19"/>
  <c r="AK50" i="19"/>
  <c r="AL58" i="18"/>
  <c r="AB81" i="18"/>
  <c r="AH81" i="18"/>
  <c r="AM58" i="18"/>
  <c r="AH59" i="18"/>
  <c r="AK59" i="18"/>
  <c r="I60" i="18"/>
  <c r="J59" i="18"/>
  <c r="F53" i="19"/>
  <c r="AO53" i="19"/>
  <c r="AP53" i="19"/>
  <c r="F33" i="19"/>
  <c r="AO33" i="19"/>
  <c r="AP33" i="19"/>
  <c r="G60" i="18"/>
  <c r="B61" i="18"/>
  <c r="F60" i="18"/>
  <c r="AC33" i="18"/>
  <c r="AH33" i="18"/>
  <c r="AG33" i="18"/>
  <c r="L12" i="18"/>
  <c r="M12" i="18"/>
  <c r="N12" i="18"/>
  <c r="AO12" i="18"/>
  <c r="AP12" i="18"/>
  <c r="T11" i="19"/>
  <c r="O11" i="19"/>
  <c r="X11" i="19"/>
  <c r="Y11" i="19"/>
  <c r="Z11" i="19"/>
  <c r="S12" i="18"/>
  <c r="T12" i="18"/>
  <c r="AG72" i="19"/>
  <c r="AM9" i="19"/>
  <c r="AC10" i="19"/>
  <c r="AG10" i="19"/>
  <c r="AL9" i="19"/>
  <c r="T11" i="18"/>
  <c r="O11" i="18"/>
  <c r="X11" i="18"/>
  <c r="Y11" i="18"/>
  <c r="Z11" i="18"/>
  <c r="U11" i="18"/>
  <c r="V11" i="18"/>
  <c r="W11" i="18"/>
  <c r="AO12" i="19"/>
  <c r="AP12" i="19"/>
  <c r="AB84" i="18"/>
  <c r="AC84" i="18"/>
  <c r="U84" i="18"/>
  <c r="T72" i="19"/>
  <c r="L84" i="18"/>
  <c r="P84" i="18"/>
  <c r="AA84" i="18"/>
  <c r="R84" i="18"/>
  <c r="N84" i="18"/>
  <c r="O84" i="18"/>
  <c r="V84" i="18"/>
  <c r="W84" i="18"/>
  <c r="AD84" i="18"/>
  <c r="AE84" i="18"/>
  <c r="AF84" i="18"/>
  <c r="S84" i="18"/>
  <c r="T84" i="18"/>
  <c r="C85" i="18"/>
  <c r="D85" i="18"/>
  <c r="M84" i="18"/>
  <c r="Q84" i="18"/>
  <c r="X84" i="18"/>
  <c r="C37" i="18"/>
  <c r="D37" i="18"/>
  <c r="AL31" i="19"/>
  <c r="P36" i="18"/>
  <c r="L36" i="18"/>
  <c r="M36" i="18"/>
  <c r="AD36" i="18"/>
  <c r="Y36" i="18"/>
  <c r="Z36" i="18"/>
  <c r="S36" i="18"/>
  <c r="O36" i="18"/>
  <c r="R36" i="18"/>
  <c r="X36" i="18"/>
  <c r="AB36" i="18"/>
  <c r="AC36" i="18"/>
  <c r="U36" i="18"/>
  <c r="N36" i="18"/>
  <c r="V36" i="18"/>
  <c r="W36" i="18"/>
  <c r="AA36" i="18"/>
  <c r="AE36" i="18"/>
  <c r="AF36" i="18"/>
  <c r="Q36" i="18"/>
  <c r="AM31" i="19"/>
  <c r="AH32" i="19"/>
  <c r="AI72" i="19"/>
  <c r="AJ72" i="19"/>
  <c r="AK72" i="19"/>
  <c r="I33" i="19"/>
  <c r="J32" i="19"/>
  <c r="G33" i="19"/>
  <c r="B34" i="19"/>
  <c r="E34" i="19"/>
  <c r="AG32" i="19"/>
  <c r="T32" i="19"/>
  <c r="C74" i="19"/>
  <c r="D74" i="19"/>
  <c r="E74" i="19"/>
  <c r="X73" i="19"/>
  <c r="AD73" i="19"/>
  <c r="Y73" i="19"/>
  <c r="Z73" i="19"/>
  <c r="AE73" i="19"/>
  <c r="AF73" i="19"/>
  <c r="P73" i="19"/>
  <c r="V73" i="19"/>
  <c r="W73" i="19"/>
  <c r="U73" i="19"/>
  <c r="O73" i="19"/>
  <c r="L73" i="19"/>
  <c r="Q73" i="19"/>
  <c r="AA73" i="19"/>
  <c r="AB73" i="19"/>
  <c r="AC73" i="19"/>
  <c r="R73" i="19"/>
  <c r="N73" i="19"/>
  <c r="M73" i="19"/>
  <c r="S73" i="19"/>
  <c r="G53" i="19"/>
  <c r="B54" i="19"/>
  <c r="E54" i="19"/>
  <c r="I53" i="19"/>
  <c r="J52" i="19"/>
  <c r="T52" i="19"/>
  <c r="AG52" i="19"/>
  <c r="I12" i="19"/>
  <c r="J11" i="19"/>
  <c r="C61" i="18"/>
  <c r="D61" i="18"/>
  <c r="E61" i="18"/>
  <c r="AM50" i="19"/>
  <c r="AH51" i="19"/>
  <c r="AK51" i="19"/>
  <c r="AL50" i="19"/>
  <c r="AI81" i="18"/>
  <c r="AK81" i="18"/>
  <c r="AC81" i="18"/>
  <c r="AG81" i="18"/>
  <c r="AI59" i="18"/>
  <c r="AJ59" i="18"/>
  <c r="Y33" i="19"/>
  <c r="Z33" i="19"/>
  <c r="O33" i="19"/>
  <c r="F74" i="19"/>
  <c r="AO74" i="19"/>
  <c r="AP74" i="19"/>
  <c r="F85" i="18"/>
  <c r="AO85" i="18"/>
  <c r="AP85" i="18"/>
  <c r="AO60" i="18"/>
  <c r="AP60" i="18"/>
  <c r="O60" i="18"/>
  <c r="S60" i="18"/>
  <c r="U60" i="18"/>
  <c r="P60" i="18"/>
  <c r="V60" i="18"/>
  <c r="W60" i="18"/>
  <c r="R60" i="18"/>
  <c r="Y60" i="18"/>
  <c r="Z60" i="18"/>
  <c r="X60" i="18"/>
  <c r="Q60" i="18"/>
  <c r="AE60" i="18"/>
  <c r="AF60" i="18"/>
  <c r="AB60" i="18"/>
  <c r="AC60" i="18"/>
  <c r="M60" i="18"/>
  <c r="AD60" i="18"/>
  <c r="AA60" i="18"/>
  <c r="L60" i="18"/>
  <c r="N60" i="18"/>
  <c r="F37" i="18"/>
  <c r="AO37" i="18"/>
  <c r="AP37" i="18"/>
  <c r="AI33" i="18"/>
  <c r="AK33" i="18"/>
  <c r="AO13" i="18"/>
  <c r="AP13" i="18"/>
  <c r="I13" i="18"/>
  <c r="J12" i="18"/>
  <c r="P11" i="19"/>
  <c r="Q11" i="19"/>
  <c r="AA11" i="19"/>
  <c r="AB11" i="19"/>
  <c r="AC11" i="19"/>
  <c r="O12" i="18"/>
  <c r="X12" i="18"/>
  <c r="Y12" i="18"/>
  <c r="Z12" i="18"/>
  <c r="U12" i="18"/>
  <c r="V12" i="18"/>
  <c r="P11" i="18"/>
  <c r="AA11" i="18"/>
  <c r="AB11" i="18"/>
  <c r="AC11" i="18"/>
  <c r="Q11" i="18"/>
  <c r="C54" i="19"/>
  <c r="D54" i="19"/>
  <c r="AG84" i="18"/>
  <c r="I85" i="18"/>
  <c r="J84" i="18"/>
  <c r="G85" i="18"/>
  <c r="B86" i="18"/>
  <c r="E86" i="18"/>
  <c r="AL72" i="19"/>
  <c r="P33" i="19"/>
  <c r="S33" i="19"/>
  <c r="T33" i="19"/>
  <c r="X33" i="19"/>
  <c r="U33" i="19"/>
  <c r="Q33" i="19"/>
  <c r="AA33" i="19"/>
  <c r="AE33" i="19"/>
  <c r="AF33" i="19"/>
  <c r="R33" i="19"/>
  <c r="AB33" i="19"/>
  <c r="AC33" i="19"/>
  <c r="AM72" i="19"/>
  <c r="AH73" i="19"/>
  <c r="AK73" i="19"/>
  <c r="G37" i="18"/>
  <c r="B38" i="18"/>
  <c r="E38" i="18"/>
  <c r="AK32" i="19"/>
  <c r="AI32" i="19"/>
  <c r="AJ32" i="19"/>
  <c r="T36" i="18"/>
  <c r="AG36" i="18"/>
  <c r="N37" i="18"/>
  <c r="L33" i="19"/>
  <c r="N33" i="19"/>
  <c r="M33" i="19"/>
  <c r="I37" i="18"/>
  <c r="J36" i="18"/>
  <c r="V33" i="19"/>
  <c r="W33" i="19"/>
  <c r="AD33" i="19"/>
  <c r="C34" i="19"/>
  <c r="D34" i="19"/>
  <c r="P53" i="19"/>
  <c r="AA53" i="19"/>
  <c r="V53" i="19"/>
  <c r="W53" i="19"/>
  <c r="U53" i="19"/>
  <c r="L53" i="19"/>
  <c r="Q53" i="19"/>
  <c r="AB53" i="19"/>
  <c r="AC53" i="19"/>
  <c r="R53" i="19"/>
  <c r="O53" i="19"/>
  <c r="N53" i="19"/>
  <c r="M53" i="19"/>
  <c r="Y53" i="19"/>
  <c r="Z53" i="19"/>
  <c r="S53" i="19"/>
  <c r="X53" i="19"/>
  <c r="AE53" i="19"/>
  <c r="AF53" i="19"/>
  <c r="AD53" i="19"/>
  <c r="I74" i="19"/>
  <c r="J73" i="19"/>
  <c r="G74" i="19"/>
  <c r="B75" i="19"/>
  <c r="T73" i="19"/>
  <c r="AG73" i="19"/>
  <c r="Q12" i="19"/>
  <c r="P12" i="19"/>
  <c r="AD12" i="19"/>
  <c r="AA12" i="19"/>
  <c r="AB12" i="19"/>
  <c r="AC12" i="19"/>
  <c r="O12" i="19"/>
  <c r="U12" i="19"/>
  <c r="AE12" i="19"/>
  <c r="AF12" i="19"/>
  <c r="M12" i="19"/>
  <c r="L12" i="19"/>
  <c r="V12" i="19"/>
  <c r="W12" i="19"/>
  <c r="S12" i="19"/>
  <c r="Y12" i="19"/>
  <c r="Z12" i="19"/>
  <c r="R12" i="19"/>
  <c r="X12" i="19"/>
  <c r="N12" i="19"/>
  <c r="AI51" i="19"/>
  <c r="AL81" i="18"/>
  <c r="AM81" i="18"/>
  <c r="AH82" i="18"/>
  <c r="AK82" i="18"/>
  <c r="AL59" i="18"/>
  <c r="AM59" i="18"/>
  <c r="AH60" i="18"/>
  <c r="AO13" i="19"/>
  <c r="AP13" i="19"/>
  <c r="F34" i="19"/>
  <c r="AO34" i="19"/>
  <c r="AP34" i="19"/>
  <c r="AA85" i="18"/>
  <c r="F61" i="18"/>
  <c r="G61" i="18"/>
  <c r="B62" i="18"/>
  <c r="E62" i="18"/>
  <c r="I61" i="18"/>
  <c r="J60" i="18"/>
  <c r="AA37" i="18"/>
  <c r="L13" i="18"/>
  <c r="M13" i="18"/>
  <c r="N13" i="18"/>
  <c r="U13" i="18"/>
  <c r="X37" i="18"/>
  <c r="Y37" i="18"/>
  <c r="Z37" i="18"/>
  <c r="F54" i="19"/>
  <c r="AO54" i="19"/>
  <c r="AP54" i="19"/>
  <c r="AG60" i="18"/>
  <c r="T60" i="18"/>
  <c r="V37" i="18"/>
  <c r="W37" i="18"/>
  <c r="Q37" i="18"/>
  <c r="AB37" i="18"/>
  <c r="AC37" i="18"/>
  <c r="U37" i="18"/>
  <c r="M37" i="18"/>
  <c r="L37" i="18"/>
  <c r="AD37" i="18"/>
  <c r="AE37" i="18"/>
  <c r="AF37" i="18"/>
  <c r="AL33" i="18"/>
  <c r="O37" i="18"/>
  <c r="AM33" i="18"/>
  <c r="AH34" i="18"/>
  <c r="AI34" i="18"/>
  <c r="AJ34" i="18"/>
  <c r="R13" i="18"/>
  <c r="AD11" i="19"/>
  <c r="AE11" i="19"/>
  <c r="W12" i="18"/>
  <c r="P12" i="18"/>
  <c r="Q12" i="18"/>
  <c r="AD11" i="18"/>
  <c r="AE11" i="18"/>
  <c r="AF11" i="18"/>
  <c r="C38" i="18"/>
  <c r="D38" i="18"/>
  <c r="N85" i="18"/>
  <c r="M85" i="18"/>
  <c r="L85" i="18"/>
  <c r="Y85" i="18"/>
  <c r="Z85" i="18"/>
  <c r="AD85" i="18"/>
  <c r="Q85" i="18"/>
  <c r="AB85" i="18"/>
  <c r="AC85" i="18"/>
  <c r="P85" i="18"/>
  <c r="AE85" i="18"/>
  <c r="AF85" i="18"/>
  <c r="O85" i="18"/>
  <c r="U85" i="18"/>
  <c r="V85" i="18"/>
  <c r="W85" i="18"/>
  <c r="X85" i="18"/>
  <c r="R85" i="18"/>
  <c r="S85" i="18"/>
  <c r="T85" i="18"/>
  <c r="C86" i="18"/>
  <c r="D86" i="18"/>
  <c r="AM32" i="19"/>
  <c r="AH33" i="19"/>
  <c r="AI33" i="19"/>
  <c r="AJ33" i="19"/>
  <c r="AG33" i="19"/>
  <c r="AL32" i="19"/>
  <c r="S37" i="18"/>
  <c r="T37" i="18"/>
  <c r="P37" i="18"/>
  <c r="R37" i="18"/>
  <c r="AI73" i="19"/>
  <c r="I54" i="19"/>
  <c r="J53" i="19"/>
  <c r="I34" i="19"/>
  <c r="J33" i="19"/>
  <c r="G34" i="19"/>
  <c r="B35" i="19"/>
  <c r="E35" i="19"/>
  <c r="G54" i="19"/>
  <c r="B55" i="19"/>
  <c r="E55" i="19"/>
  <c r="E75" i="19"/>
  <c r="C75" i="19"/>
  <c r="D75" i="19"/>
  <c r="AE74" i="19"/>
  <c r="AF74" i="19"/>
  <c r="O74" i="19"/>
  <c r="U74" i="19"/>
  <c r="Y74" i="19"/>
  <c r="Z74" i="19"/>
  <c r="AA74" i="19"/>
  <c r="X74" i="19"/>
  <c r="R74" i="19"/>
  <c r="S74" i="19"/>
  <c r="V74" i="19"/>
  <c r="W74" i="19"/>
  <c r="AB74" i="19"/>
  <c r="AC74" i="19"/>
  <c r="L74" i="19"/>
  <c r="P74" i="19"/>
  <c r="M74" i="19"/>
  <c r="Q74" i="19"/>
  <c r="AD74" i="19"/>
  <c r="N74" i="19"/>
  <c r="AG53" i="19"/>
  <c r="T53" i="19"/>
  <c r="I13" i="19"/>
  <c r="J12" i="19"/>
  <c r="AG12" i="19"/>
  <c r="T12" i="19"/>
  <c r="AJ73" i="19"/>
  <c r="AL73" i="19"/>
  <c r="AJ51" i="19"/>
  <c r="AL51" i="19"/>
  <c r="Y34" i="19"/>
  <c r="Z34" i="19"/>
  <c r="R54" i="19"/>
  <c r="X54" i="19"/>
  <c r="AD54" i="19"/>
  <c r="AE54" i="19"/>
  <c r="AF54" i="19"/>
  <c r="U54" i="19"/>
  <c r="AI82" i="18"/>
  <c r="AK60" i="18"/>
  <c r="AI60" i="18"/>
  <c r="AJ60" i="18"/>
  <c r="Y54" i="19"/>
  <c r="Z54" i="19"/>
  <c r="AA54" i="19"/>
  <c r="F75" i="19"/>
  <c r="AO75" i="19"/>
  <c r="AP75" i="19"/>
  <c r="F86" i="18"/>
  <c r="AO86" i="18"/>
  <c r="AP86" i="18"/>
  <c r="C62" i="18"/>
  <c r="D62" i="18"/>
  <c r="AO61" i="18"/>
  <c r="AP61" i="18"/>
  <c r="AD61" i="18"/>
  <c r="P61" i="18"/>
  <c r="AA61" i="18"/>
  <c r="L61" i="18"/>
  <c r="O61" i="18"/>
  <c r="U61" i="18"/>
  <c r="X61" i="18"/>
  <c r="Q61" i="18"/>
  <c r="N61" i="18"/>
  <c r="R61" i="18"/>
  <c r="M61" i="18"/>
  <c r="AE61" i="18"/>
  <c r="AF61" i="18"/>
  <c r="AB61" i="18"/>
  <c r="AC61" i="18"/>
  <c r="S61" i="18"/>
  <c r="Y61" i="18"/>
  <c r="Z61" i="18"/>
  <c r="V61" i="18"/>
  <c r="W61" i="18"/>
  <c r="V13" i="18"/>
  <c r="W13" i="18"/>
  <c r="S13" i="18"/>
  <c r="T13" i="18"/>
  <c r="Q54" i="19"/>
  <c r="C55" i="19"/>
  <c r="D55" i="19"/>
  <c r="V54" i="19"/>
  <c r="W54" i="19"/>
  <c r="L54" i="19"/>
  <c r="N54" i="19"/>
  <c r="M54" i="19"/>
  <c r="P54" i="19"/>
  <c r="S54" i="19"/>
  <c r="T54" i="19"/>
  <c r="O54" i="19"/>
  <c r="AB54" i="19"/>
  <c r="AC54" i="19"/>
  <c r="F38" i="18"/>
  <c r="AO38" i="18"/>
  <c r="AP38" i="18"/>
  <c r="AK34" i="18"/>
  <c r="AL34" i="18"/>
  <c r="AO14" i="18"/>
  <c r="AP14" i="18"/>
  <c r="I14" i="18"/>
  <c r="J13" i="18"/>
  <c r="AF11" i="19"/>
  <c r="AG11" i="19"/>
  <c r="AD12" i="18"/>
  <c r="AE12" i="18"/>
  <c r="AF12" i="18"/>
  <c r="AA12" i="18"/>
  <c r="AB12" i="18"/>
  <c r="O13" i="18"/>
  <c r="X13" i="18"/>
  <c r="Y13" i="18"/>
  <c r="AG11" i="18"/>
  <c r="G38" i="18"/>
  <c r="B39" i="18"/>
  <c r="E39" i="18"/>
  <c r="I38" i="18"/>
  <c r="J37" i="18"/>
  <c r="AG85" i="18"/>
  <c r="I86" i="18"/>
  <c r="J85" i="18"/>
  <c r="G86" i="18"/>
  <c r="B87" i="18"/>
  <c r="E87" i="18"/>
  <c r="AG37" i="18"/>
  <c r="AK33" i="19"/>
  <c r="AM33" i="19"/>
  <c r="L34" i="19"/>
  <c r="AM73" i="19"/>
  <c r="AH74" i="19"/>
  <c r="AI74" i="19"/>
  <c r="AJ74" i="19"/>
  <c r="R34" i="19"/>
  <c r="R86" i="18"/>
  <c r="M34" i="19"/>
  <c r="AA34" i="19"/>
  <c r="Q34" i="19"/>
  <c r="AD34" i="19"/>
  <c r="G75" i="19"/>
  <c r="B76" i="19"/>
  <c r="V34" i="19"/>
  <c r="W34" i="19"/>
  <c r="AE34" i="19"/>
  <c r="AF34" i="19"/>
  <c r="AB34" i="19"/>
  <c r="AC34" i="19"/>
  <c r="O34" i="19"/>
  <c r="P34" i="19"/>
  <c r="X34" i="19"/>
  <c r="N34" i="19"/>
  <c r="S34" i="19"/>
  <c r="T34" i="19"/>
  <c r="U34" i="19"/>
  <c r="C35" i="19"/>
  <c r="D35" i="19"/>
  <c r="I75" i="19"/>
  <c r="J74" i="19"/>
  <c r="T74" i="19"/>
  <c r="AG74" i="19"/>
  <c r="AE13" i="19"/>
  <c r="AF13" i="19"/>
  <c r="V13" i="19"/>
  <c r="W13" i="19"/>
  <c r="N13" i="19"/>
  <c r="U13" i="19"/>
  <c r="AA13" i="19"/>
  <c r="AD13" i="19"/>
  <c r="X13" i="19"/>
  <c r="S13" i="19"/>
  <c r="R13" i="19"/>
  <c r="P13" i="19"/>
  <c r="O13" i="19"/>
  <c r="M13" i="19"/>
  <c r="AB13" i="19"/>
  <c r="AC13" i="19"/>
  <c r="Q13" i="19"/>
  <c r="L13" i="19"/>
  <c r="Y13" i="19"/>
  <c r="Z13" i="19"/>
  <c r="AM51" i="19"/>
  <c r="AH52" i="19"/>
  <c r="AK52" i="19"/>
  <c r="AJ82" i="18"/>
  <c r="AM82" i="18"/>
  <c r="AH83" i="18"/>
  <c r="AM60" i="18"/>
  <c r="AH61" i="18"/>
  <c r="AI61" i="18"/>
  <c r="AJ61" i="18"/>
  <c r="AL60" i="18"/>
  <c r="M86" i="18"/>
  <c r="N86" i="18"/>
  <c r="V86" i="18"/>
  <c r="W86" i="18"/>
  <c r="Y86" i="18"/>
  <c r="Z86" i="18"/>
  <c r="AE86" i="18"/>
  <c r="AF86" i="18"/>
  <c r="F35" i="19"/>
  <c r="AO35" i="19"/>
  <c r="AP35" i="19"/>
  <c r="AD86" i="18"/>
  <c r="Q86" i="18"/>
  <c r="F55" i="19"/>
  <c r="AO55" i="19"/>
  <c r="AP55" i="19"/>
  <c r="L86" i="18"/>
  <c r="AA86" i="18"/>
  <c r="P86" i="18"/>
  <c r="S86" i="18"/>
  <c r="T86" i="18"/>
  <c r="I55" i="19"/>
  <c r="J54" i="19"/>
  <c r="U86" i="18"/>
  <c r="AB86" i="18"/>
  <c r="AC86" i="18"/>
  <c r="O86" i="18"/>
  <c r="X86" i="18"/>
  <c r="AG54" i="19"/>
  <c r="R38" i="18"/>
  <c r="Q38" i="18"/>
  <c r="X38" i="18"/>
  <c r="AD38" i="18"/>
  <c r="F62" i="18"/>
  <c r="I62" i="18"/>
  <c r="J61" i="18"/>
  <c r="G62" i="18"/>
  <c r="B63" i="18"/>
  <c r="E63" i="18"/>
  <c r="AB38" i="18"/>
  <c r="AC38" i="18"/>
  <c r="O38" i="18"/>
  <c r="U38" i="18"/>
  <c r="T61" i="18"/>
  <c r="AG61" i="18"/>
  <c r="N38" i="18"/>
  <c r="AE38" i="18"/>
  <c r="AF38" i="18"/>
  <c r="L38" i="18"/>
  <c r="V38" i="18"/>
  <c r="W38" i="18"/>
  <c r="M38" i="18"/>
  <c r="AA38" i="18"/>
  <c r="Y38" i="18"/>
  <c r="Z38" i="18"/>
  <c r="S38" i="18"/>
  <c r="T38" i="18"/>
  <c r="P38" i="18"/>
  <c r="G55" i="19"/>
  <c r="B56" i="19"/>
  <c r="E56" i="19"/>
  <c r="AM34" i="18"/>
  <c r="AH35" i="18"/>
  <c r="R14" i="18"/>
  <c r="L14" i="18"/>
  <c r="M14" i="18"/>
  <c r="Z13" i="18"/>
  <c r="AC12" i="18"/>
  <c r="AG12" i="18"/>
  <c r="Q13" i="18"/>
  <c r="P13" i="18"/>
  <c r="C39" i="18"/>
  <c r="D39" i="18"/>
  <c r="AL33" i="19"/>
  <c r="C76" i="19"/>
  <c r="D76" i="19"/>
  <c r="E76" i="19"/>
  <c r="C87" i="18"/>
  <c r="D87" i="18"/>
  <c r="AH34" i="19"/>
  <c r="AK34" i="19"/>
  <c r="AK74" i="19"/>
  <c r="AM74" i="19"/>
  <c r="I35" i="19"/>
  <c r="J34" i="19"/>
  <c r="AG34" i="19"/>
  <c r="G35" i="19"/>
  <c r="B36" i="19"/>
  <c r="E36" i="19"/>
  <c r="X75" i="19"/>
  <c r="L75" i="19"/>
  <c r="AD75" i="19"/>
  <c r="Y75" i="19"/>
  <c r="Z75" i="19"/>
  <c r="S75" i="19"/>
  <c r="P75" i="19"/>
  <c r="M75" i="19"/>
  <c r="R75" i="19"/>
  <c r="V75" i="19"/>
  <c r="W75" i="19"/>
  <c r="U75" i="19"/>
  <c r="O75" i="19"/>
  <c r="AB75" i="19"/>
  <c r="AC75" i="19"/>
  <c r="AE75" i="19"/>
  <c r="AF75" i="19"/>
  <c r="Q75" i="19"/>
  <c r="AA75" i="19"/>
  <c r="N75" i="19"/>
  <c r="T13" i="19"/>
  <c r="AG13" i="19"/>
  <c r="AI52" i="19"/>
  <c r="AK83" i="18"/>
  <c r="AI83" i="18"/>
  <c r="AL82" i="18"/>
  <c r="R35" i="19"/>
  <c r="R55" i="19"/>
  <c r="U55" i="19"/>
  <c r="AB35" i="19"/>
  <c r="AC35" i="19"/>
  <c r="AO14" i="19"/>
  <c r="AP14" i="19"/>
  <c r="AK61" i="18"/>
  <c r="AL61" i="18"/>
  <c r="G76" i="19"/>
  <c r="B77" i="19"/>
  <c r="E77" i="19"/>
  <c r="C56" i="19"/>
  <c r="AG86" i="18"/>
  <c r="F76" i="19"/>
  <c r="AO76" i="19"/>
  <c r="AP76" i="19"/>
  <c r="AN78" i="19"/>
  <c r="CQ15" i="7"/>
  <c r="C63" i="18"/>
  <c r="D63" i="18"/>
  <c r="AO62" i="18"/>
  <c r="AP62" i="18"/>
  <c r="Q62" i="18"/>
  <c r="N62" i="18"/>
  <c r="L62" i="18"/>
  <c r="R62" i="18"/>
  <c r="X62" i="18"/>
  <c r="U62" i="18"/>
  <c r="M62" i="18"/>
  <c r="AB62" i="18"/>
  <c r="AC62" i="18"/>
  <c r="AE62" i="18"/>
  <c r="AF62" i="18"/>
  <c r="P62" i="18"/>
  <c r="S62" i="18"/>
  <c r="O62" i="18"/>
  <c r="Y62" i="18"/>
  <c r="Z62" i="18"/>
  <c r="V62" i="18"/>
  <c r="W62" i="18"/>
  <c r="AD62" i="18"/>
  <c r="AA62" i="18"/>
  <c r="AG38" i="18"/>
  <c r="F87" i="18"/>
  <c r="AO87" i="18"/>
  <c r="AP87" i="18"/>
  <c r="G39" i="18"/>
  <c r="B40" i="18"/>
  <c r="E40" i="18"/>
  <c r="AI35" i="18"/>
  <c r="AJ35" i="18"/>
  <c r="AK35" i="18"/>
  <c r="I15" i="18"/>
  <c r="J14" i="18"/>
  <c r="R15" i="18"/>
  <c r="AD13" i="18"/>
  <c r="AE13" i="18"/>
  <c r="AF13" i="18"/>
  <c r="S14" i="18"/>
  <c r="T14" i="18"/>
  <c r="N14" i="18"/>
  <c r="U14" i="18"/>
  <c r="V14" i="18"/>
  <c r="W14" i="18"/>
  <c r="AA13" i="18"/>
  <c r="AB13" i="18"/>
  <c r="AI34" i="19"/>
  <c r="AL74" i="19"/>
  <c r="I76" i="19"/>
  <c r="J75" i="19"/>
  <c r="O55" i="19"/>
  <c r="Y55" i="19"/>
  <c r="Z55" i="19"/>
  <c r="AB55" i="19"/>
  <c r="AC55" i="19"/>
  <c r="S55" i="19"/>
  <c r="T55" i="19"/>
  <c r="M55" i="19"/>
  <c r="V55" i="19"/>
  <c r="W55" i="19"/>
  <c r="X55" i="19"/>
  <c r="L55" i="19"/>
  <c r="AE55" i="19"/>
  <c r="AF55" i="19"/>
  <c r="P55" i="19"/>
  <c r="N55" i="19"/>
  <c r="AD55" i="19"/>
  <c r="AA55" i="19"/>
  <c r="Q55" i="19"/>
  <c r="G87" i="18"/>
  <c r="B88" i="18"/>
  <c r="E88" i="18"/>
  <c r="I87" i="18"/>
  <c r="J86" i="18"/>
  <c r="S35" i="19"/>
  <c r="T35" i="19"/>
  <c r="N35" i="19"/>
  <c r="AD35" i="19"/>
  <c r="O35" i="19"/>
  <c r="M35" i="19"/>
  <c r="Y35" i="19"/>
  <c r="Z35" i="19"/>
  <c r="L35" i="19"/>
  <c r="S76" i="19"/>
  <c r="T76" i="19"/>
  <c r="AH75" i="19"/>
  <c r="AK75" i="19"/>
  <c r="P35" i="19"/>
  <c r="U35" i="19"/>
  <c r="AE35" i="19"/>
  <c r="AF35" i="19"/>
  <c r="Q35" i="19"/>
  <c r="AA35" i="19"/>
  <c r="V35" i="19"/>
  <c r="X35" i="19"/>
  <c r="C36" i="19"/>
  <c r="D36" i="19"/>
  <c r="P76" i="19"/>
  <c r="C77" i="19"/>
  <c r="D77" i="19"/>
  <c r="AG75" i="19"/>
  <c r="T75" i="19"/>
  <c r="V14" i="19"/>
  <c r="W14" i="19"/>
  <c r="N14" i="19"/>
  <c r="I14" i="19"/>
  <c r="J13" i="19"/>
  <c r="AJ52" i="19"/>
  <c r="AL52" i="19"/>
  <c r="AJ34" i="19"/>
  <c r="AM34" i="19"/>
  <c r="AH35" i="19"/>
  <c r="AJ83" i="18"/>
  <c r="AL83" i="18"/>
  <c r="D56" i="19"/>
  <c r="I56" i="19"/>
  <c r="J55" i="19"/>
  <c r="AB14" i="19"/>
  <c r="AC14" i="19"/>
  <c r="R76" i="19"/>
  <c r="Y14" i="19"/>
  <c r="Z14" i="19"/>
  <c r="P14" i="19"/>
  <c r="S14" i="19"/>
  <c r="T14" i="19"/>
  <c r="X14" i="19"/>
  <c r="L14" i="19"/>
  <c r="M14" i="19"/>
  <c r="U14" i="19"/>
  <c r="AD14" i="19"/>
  <c r="AA14" i="19"/>
  <c r="AE14" i="19"/>
  <c r="AF14" i="19"/>
  <c r="AE76" i="19"/>
  <c r="AF76" i="19"/>
  <c r="A79" i="19"/>
  <c r="CT5" i="9"/>
  <c r="D19" i="17"/>
  <c r="AB87" i="18"/>
  <c r="AC87" i="18"/>
  <c r="AM61" i="18"/>
  <c r="AH62" i="18"/>
  <c r="F77" i="19"/>
  <c r="F36" i="19"/>
  <c r="AO36" i="19"/>
  <c r="AP36" i="19"/>
  <c r="AN38" i="19"/>
  <c r="CQ9" i="7"/>
  <c r="AG62" i="18"/>
  <c r="T62" i="18"/>
  <c r="F63" i="18"/>
  <c r="G63" i="18"/>
  <c r="B64" i="18"/>
  <c r="E64" i="18"/>
  <c r="I63" i="18"/>
  <c r="J62" i="18"/>
  <c r="AL35" i="18"/>
  <c r="AL34" i="19"/>
  <c r="AM35" i="18"/>
  <c r="AH36" i="18"/>
  <c r="AK36" i="18"/>
  <c r="C40" i="18"/>
  <c r="D40" i="18"/>
  <c r="I39" i="18"/>
  <c r="J38" i="18"/>
  <c r="F39" i="18"/>
  <c r="L15" i="18"/>
  <c r="M15" i="18"/>
  <c r="N15" i="18"/>
  <c r="AO15" i="18"/>
  <c r="AP15" i="18"/>
  <c r="AC13" i="18"/>
  <c r="AG13" i="18"/>
  <c r="O14" i="18"/>
  <c r="X14" i="18"/>
  <c r="Y14" i="18"/>
  <c r="Z14" i="18"/>
  <c r="AG55" i="19"/>
  <c r="N87" i="18"/>
  <c r="L87" i="18"/>
  <c r="X87" i="18"/>
  <c r="P87" i="18"/>
  <c r="Y87" i="18"/>
  <c r="Z87" i="18"/>
  <c r="Q87" i="18"/>
  <c r="Q76" i="19"/>
  <c r="X76" i="19"/>
  <c r="AB76" i="19"/>
  <c r="AC76" i="19"/>
  <c r="U87" i="18"/>
  <c r="V87" i="18"/>
  <c r="W87" i="18"/>
  <c r="O87" i="18"/>
  <c r="M87" i="18"/>
  <c r="M76" i="19"/>
  <c r="AD76" i="19"/>
  <c r="N76" i="19"/>
  <c r="U76" i="19"/>
  <c r="O76" i="19"/>
  <c r="L76" i="19"/>
  <c r="Y76" i="19"/>
  <c r="Z76" i="19"/>
  <c r="AA76" i="19"/>
  <c r="V76" i="19"/>
  <c r="W76" i="19"/>
  <c r="AA87" i="18"/>
  <c r="AE87" i="18"/>
  <c r="AF87" i="18"/>
  <c r="AD87" i="18"/>
  <c r="R87" i="18"/>
  <c r="S87" i="18"/>
  <c r="T87" i="18"/>
  <c r="C88" i="18"/>
  <c r="D88" i="18"/>
  <c r="AI75" i="19"/>
  <c r="W35" i="19"/>
  <c r="AG35" i="19"/>
  <c r="I36" i="19"/>
  <c r="J35" i="19"/>
  <c r="G36" i="19"/>
  <c r="B37" i="19"/>
  <c r="E37" i="19"/>
  <c r="G77" i="19"/>
  <c r="I77" i="19"/>
  <c r="O14" i="19"/>
  <c r="R14" i="19"/>
  <c r="Q14" i="19"/>
  <c r="AJ75" i="19"/>
  <c r="AL75" i="19"/>
  <c r="AM52" i="19"/>
  <c r="AH53" i="19"/>
  <c r="AK35" i="19"/>
  <c r="AI35" i="19"/>
  <c r="AM83" i="18"/>
  <c r="AH84" i="18"/>
  <c r="G56" i="19"/>
  <c r="B57" i="19"/>
  <c r="C57" i="19"/>
  <c r="D57" i="19"/>
  <c r="F56" i="19"/>
  <c r="P56" i="19"/>
  <c r="AA56" i="19"/>
  <c r="N56" i="19"/>
  <c r="AG14" i="19"/>
  <c r="AI62" i="18"/>
  <c r="AJ62" i="18"/>
  <c r="AK62" i="18"/>
  <c r="I40" i="18"/>
  <c r="J39" i="18"/>
  <c r="C64" i="18"/>
  <c r="D64" i="18"/>
  <c r="AO63" i="18"/>
  <c r="AP63" i="18"/>
  <c r="AE63" i="18"/>
  <c r="AF63" i="18"/>
  <c r="R63" i="18"/>
  <c r="AD63" i="18"/>
  <c r="L63" i="18"/>
  <c r="AA63" i="18"/>
  <c r="P63" i="18"/>
  <c r="N63" i="18"/>
  <c r="S63" i="18"/>
  <c r="AB63" i="18"/>
  <c r="AC63" i="18"/>
  <c r="U63" i="18"/>
  <c r="Q63" i="18"/>
  <c r="X63" i="18"/>
  <c r="O63" i="18"/>
  <c r="M63" i="18"/>
  <c r="V63" i="18"/>
  <c r="W63" i="18"/>
  <c r="Y63" i="18"/>
  <c r="Z63" i="18"/>
  <c r="F88" i="18"/>
  <c r="AO88" i="18"/>
  <c r="AP88" i="18"/>
  <c r="AN90" i="18"/>
  <c r="CP15" i="7"/>
  <c r="J76" i="19"/>
  <c r="J66" i="19"/>
  <c r="AI36" i="18"/>
  <c r="F40" i="18"/>
  <c r="AO40" i="18"/>
  <c r="AP40" i="18"/>
  <c r="G40" i="18"/>
  <c r="AO39" i="18"/>
  <c r="AP39" i="18"/>
  <c r="V39" i="18"/>
  <c r="W39" i="18"/>
  <c r="N39" i="18"/>
  <c r="L39" i="18"/>
  <c r="M39" i="18"/>
  <c r="AE39" i="18"/>
  <c r="AF39" i="18"/>
  <c r="R39" i="18"/>
  <c r="O39" i="18"/>
  <c r="S39" i="18"/>
  <c r="AD39" i="18"/>
  <c r="X39" i="18"/>
  <c r="Q39" i="18"/>
  <c r="AB39" i="18"/>
  <c r="AC39" i="18"/>
  <c r="U39" i="18"/>
  <c r="P39" i="18"/>
  <c r="AA39" i="18"/>
  <c r="Y39" i="18"/>
  <c r="Z39" i="18"/>
  <c r="O15" i="18"/>
  <c r="S15" i="18"/>
  <c r="T15" i="18"/>
  <c r="U15" i="18"/>
  <c r="V15" i="18"/>
  <c r="W15" i="18"/>
  <c r="AO16" i="18"/>
  <c r="AP16" i="18"/>
  <c r="AN18" i="18"/>
  <c r="CP6" i="7"/>
  <c r="I16" i="18"/>
  <c r="J15" i="18"/>
  <c r="P14" i="18"/>
  <c r="Q14" i="18"/>
  <c r="AG76" i="19"/>
  <c r="AG77" i="19"/>
  <c r="AG78" i="19"/>
  <c r="AG87" i="18"/>
  <c r="G88" i="18"/>
  <c r="B89" i="18"/>
  <c r="E89" i="18"/>
  <c r="I88" i="18"/>
  <c r="J87" i="18"/>
  <c r="Y36" i="19"/>
  <c r="Z36" i="19"/>
  <c r="L36" i="19"/>
  <c r="O36" i="19"/>
  <c r="N36" i="19"/>
  <c r="U36" i="19"/>
  <c r="AB36" i="19"/>
  <c r="AC36" i="19"/>
  <c r="AE36" i="19"/>
  <c r="AF36" i="19"/>
  <c r="AD36" i="19"/>
  <c r="A39" i="19"/>
  <c r="CT3" i="9"/>
  <c r="D11" i="17"/>
  <c r="Q36" i="19"/>
  <c r="X36" i="19"/>
  <c r="AA36" i="19"/>
  <c r="V36" i="19"/>
  <c r="W36" i="19"/>
  <c r="M36" i="19"/>
  <c r="P36" i="19"/>
  <c r="S36" i="19"/>
  <c r="C37" i="19"/>
  <c r="D37" i="19"/>
  <c r="I15" i="19"/>
  <c r="J14" i="19"/>
  <c r="AM75" i="19"/>
  <c r="AH76" i="19"/>
  <c r="AK76" i="19"/>
  <c r="AI53" i="19"/>
  <c r="AJ53" i="19"/>
  <c r="AK53" i="19"/>
  <c r="AM53" i="19"/>
  <c r="AH54" i="19"/>
  <c r="AJ35" i="19"/>
  <c r="AL35" i="19"/>
  <c r="AL36" i="18"/>
  <c r="AJ36" i="18"/>
  <c r="AI84" i="18"/>
  <c r="AJ84" i="18"/>
  <c r="AK84" i="18"/>
  <c r="AL84" i="18"/>
  <c r="F57" i="19"/>
  <c r="E57" i="19"/>
  <c r="G57" i="19"/>
  <c r="O56" i="19"/>
  <c r="AO56" i="19"/>
  <c r="AP56" i="19"/>
  <c r="AN58" i="19"/>
  <c r="CQ12" i="7"/>
  <c r="A59" i="19"/>
  <c r="CT4" i="9"/>
  <c r="D15" i="17"/>
  <c r="U56" i="19"/>
  <c r="Y56" i="19"/>
  <c r="Z56" i="19"/>
  <c r="AB56" i="19"/>
  <c r="AC56" i="19"/>
  <c r="R56" i="19"/>
  <c r="M56" i="19"/>
  <c r="X56" i="19"/>
  <c r="V56" i="19"/>
  <c r="W56" i="19"/>
  <c r="L56" i="19"/>
  <c r="AE56" i="19"/>
  <c r="AF56" i="19"/>
  <c r="AD56" i="19"/>
  <c r="Q56" i="19"/>
  <c r="S56" i="19"/>
  <c r="R36" i="19"/>
  <c r="AO15" i="19"/>
  <c r="AP15" i="19"/>
  <c r="V15" i="19"/>
  <c r="W15" i="19"/>
  <c r="Q15" i="19"/>
  <c r="N15" i="19"/>
  <c r="AA15" i="19"/>
  <c r="R15" i="19"/>
  <c r="Y15" i="19"/>
  <c r="Z15" i="19"/>
  <c r="AM62" i="18"/>
  <c r="AH63" i="18"/>
  <c r="AL62" i="18"/>
  <c r="CQ14" i="7"/>
  <c r="F37" i="19"/>
  <c r="O40" i="18"/>
  <c r="U40" i="18"/>
  <c r="X88" i="18"/>
  <c r="U88" i="18"/>
  <c r="L40" i="18"/>
  <c r="AD40" i="18"/>
  <c r="X40" i="18"/>
  <c r="P40" i="18"/>
  <c r="AE40" i="18"/>
  <c r="AF40" i="18"/>
  <c r="AA40" i="18"/>
  <c r="Q40" i="18"/>
  <c r="AG63" i="18"/>
  <c r="T63" i="18"/>
  <c r="I64" i="18"/>
  <c r="J63" i="18"/>
  <c r="F64" i="18"/>
  <c r="G64" i="18"/>
  <c r="B65" i="18"/>
  <c r="E65" i="18"/>
  <c r="M40" i="18"/>
  <c r="R40" i="18"/>
  <c r="Y40" i="18"/>
  <c r="Z40" i="18"/>
  <c r="A43" i="18"/>
  <c r="CS3" i="9"/>
  <c r="D10" i="17"/>
  <c r="V40" i="18"/>
  <c r="W40" i="18"/>
  <c r="S40" i="18"/>
  <c r="T40" i="18"/>
  <c r="AB40" i="18"/>
  <c r="AC40" i="18"/>
  <c r="N40" i="18"/>
  <c r="AN42" i="18"/>
  <c r="CP9" i="7"/>
  <c r="B41" i="18"/>
  <c r="AM36" i="18"/>
  <c r="AH37" i="18"/>
  <c r="AK37" i="18"/>
  <c r="T39" i="18"/>
  <c r="AG39" i="18"/>
  <c r="U16" i="18"/>
  <c r="AE16" i="18"/>
  <c r="AF16" i="18"/>
  <c r="V16" i="18"/>
  <c r="W16" i="18"/>
  <c r="Q15" i="18"/>
  <c r="P15" i="18"/>
  <c r="AB16" i="18"/>
  <c r="AC16" i="18"/>
  <c r="X15" i="18"/>
  <c r="Y15" i="18"/>
  <c r="Z15" i="18"/>
  <c r="Q16" i="18"/>
  <c r="AD16" i="18"/>
  <c r="L16" i="18"/>
  <c r="O16" i="18"/>
  <c r="P16" i="18"/>
  <c r="X16" i="18"/>
  <c r="R16" i="18"/>
  <c r="A19" i="18"/>
  <c r="CS2" i="9"/>
  <c r="D6" i="17"/>
  <c r="N16" i="18"/>
  <c r="Y16" i="18"/>
  <c r="Z16" i="18"/>
  <c r="AA16" i="18"/>
  <c r="M16" i="18"/>
  <c r="S16" i="18"/>
  <c r="T16" i="18"/>
  <c r="AD14" i="18"/>
  <c r="AE14" i="18"/>
  <c r="AF14" i="18"/>
  <c r="AA14" i="18"/>
  <c r="AB14" i="18"/>
  <c r="AC14" i="18"/>
  <c r="AI76" i="19"/>
  <c r="Y88" i="18"/>
  <c r="Z88" i="18"/>
  <c r="O15" i="19"/>
  <c r="M15" i="19"/>
  <c r="X15" i="19"/>
  <c r="L15" i="19"/>
  <c r="AB15" i="19"/>
  <c r="AC15" i="19"/>
  <c r="U15" i="19"/>
  <c r="AE15" i="19"/>
  <c r="AF15" i="19"/>
  <c r="S15" i="19"/>
  <c r="T15" i="19"/>
  <c r="AD15" i="19"/>
  <c r="P15" i="19"/>
  <c r="AE88" i="18"/>
  <c r="AF88" i="18"/>
  <c r="A91" i="18"/>
  <c r="CS5" i="9"/>
  <c r="D18" i="17"/>
  <c r="AA88" i="18"/>
  <c r="N88" i="18"/>
  <c r="S88" i="18"/>
  <c r="T88" i="18"/>
  <c r="P88" i="18"/>
  <c r="L88" i="18"/>
  <c r="AB88" i="18"/>
  <c r="AC88" i="18"/>
  <c r="AD88" i="18"/>
  <c r="R88" i="18"/>
  <c r="Q88" i="18"/>
  <c r="V88" i="18"/>
  <c r="W88" i="18"/>
  <c r="M88" i="18"/>
  <c r="O88" i="18"/>
  <c r="C89" i="18"/>
  <c r="D89" i="18"/>
  <c r="T36" i="19"/>
  <c r="AG36" i="19"/>
  <c r="AG37" i="19"/>
  <c r="AG38" i="19"/>
  <c r="I37" i="19"/>
  <c r="G37" i="19"/>
  <c r="A52" i="23"/>
  <c r="A56" i="23"/>
  <c r="A55" i="23"/>
  <c r="A51" i="23"/>
  <c r="A54" i="23"/>
  <c r="A57" i="23"/>
  <c r="A53" i="23"/>
  <c r="A50" i="23"/>
  <c r="AJ76" i="19"/>
  <c r="AL76" i="19"/>
  <c r="AK54" i="19"/>
  <c r="AI54" i="19"/>
  <c r="AJ54" i="19"/>
  <c r="AL54" i="19"/>
  <c r="AM54" i="19"/>
  <c r="AH55" i="19"/>
  <c r="AI55" i="19"/>
  <c r="AJ55" i="19"/>
  <c r="AL53" i="19"/>
  <c r="AM35" i="19"/>
  <c r="AH36" i="19"/>
  <c r="AK36" i="19"/>
  <c r="AM84" i="18"/>
  <c r="AH85" i="18"/>
  <c r="AG56" i="19"/>
  <c r="AG57" i="19"/>
  <c r="AG58" i="19"/>
  <c r="T56" i="19"/>
  <c r="I57" i="19"/>
  <c r="J56" i="19"/>
  <c r="J46" i="19"/>
  <c r="CQ11" i="7"/>
  <c r="C41" i="18"/>
  <c r="D41" i="18"/>
  <c r="E41" i="18"/>
  <c r="AK63" i="18"/>
  <c r="AI63" i="18"/>
  <c r="AJ63" i="18"/>
  <c r="C65" i="18"/>
  <c r="AG40" i="18"/>
  <c r="AG41" i="18"/>
  <c r="AG42" i="18"/>
  <c r="AO64" i="18"/>
  <c r="AP64" i="18"/>
  <c r="AN66" i="18"/>
  <c r="CP12" i="7"/>
  <c r="Q64" i="18"/>
  <c r="R64" i="18"/>
  <c r="N64" i="18"/>
  <c r="AA64" i="18"/>
  <c r="M64" i="18"/>
  <c r="V64" i="18"/>
  <c r="W64" i="18"/>
  <c r="X64" i="18"/>
  <c r="L64" i="18"/>
  <c r="AE64" i="18"/>
  <c r="AF64" i="18"/>
  <c r="O64" i="18"/>
  <c r="P64" i="18"/>
  <c r="U64" i="18"/>
  <c r="Y64" i="18"/>
  <c r="Z64" i="18"/>
  <c r="S64" i="18"/>
  <c r="A67" i="18"/>
  <c r="CS4" i="9"/>
  <c r="D14" i="17"/>
  <c r="AD64" i="18"/>
  <c r="AB64" i="18"/>
  <c r="AC64" i="18"/>
  <c r="AI37" i="18"/>
  <c r="J36" i="19"/>
  <c r="J26" i="19"/>
  <c r="CQ8" i="7"/>
  <c r="F89" i="18"/>
  <c r="AD15" i="18"/>
  <c r="AE15" i="18"/>
  <c r="AF15" i="18"/>
  <c r="AA15" i="18"/>
  <c r="AB15" i="18"/>
  <c r="AC15" i="18"/>
  <c r="AG16" i="18"/>
  <c r="AG14" i="18"/>
  <c r="AG15" i="19"/>
  <c r="I89" i="18"/>
  <c r="AG88" i="18"/>
  <c r="AG89" i="18"/>
  <c r="AG90" i="18"/>
  <c r="G89" i="18"/>
  <c r="AM76" i="19"/>
  <c r="AH77" i="19"/>
  <c r="AI77" i="19"/>
  <c r="AJ77" i="19"/>
  <c r="AK55" i="19"/>
  <c r="AI36" i="19"/>
  <c r="AM37" i="18"/>
  <c r="AH38" i="18"/>
  <c r="AI38" i="18"/>
  <c r="AJ38" i="18"/>
  <c r="AJ37" i="18"/>
  <c r="AI85" i="18"/>
  <c r="AJ85" i="18"/>
  <c r="AK85" i="18"/>
  <c r="AL85" i="18"/>
  <c r="F65" i="18"/>
  <c r="D65" i="18"/>
  <c r="I17" i="18"/>
  <c r="J16" i="18"/>
  <c r="J6" i="18"/>
  <c r="AM55" i="19"/>
  <c r="AH56" i="19"/>
  <c r="AI56" i="19"/>
  <c r="AJ56" i="19"/>
  <c r="AL55" i="19"/>
  <c r="AM63" i="18"/>
  <c r="AH64" i="18"/>
  <c r="AK64" i="18"/>
  <c r="AL63" i="18"/>
  <c r="I65" i="18"/>
  <c r="J64" i="18"/>
  <c r="J54" i="18"/>
  <c r="G65" i="18"/>
  <c r="T64" i="18"/>
  <c r="AG64" i="18"/>
  <c r="AG65" i="18"/>
  <c r="AL37" i="18"/>
  <c r="G41" i="18"/>
  <c r="I41" i="18"/>
  <c r="J40" i="18"/>
  <c r="J30" i="18"/>
  <c r="CP8" i="7"/>
  <c r="F41" i="18"/>
  <c r="J88" i="18"/>
  <c r="J78" i="18"/>
  <c r="CP14" i="7"/>
  <c r="G17" i="18"/>
  <c r="AG15" i="18"/>
  <c r="I16" i="19"/>
  <c r="J15" i="19"/>
  <c r="AK77" i="19"/>
  <c r="AM77" i="19"/>
  <c r="AH78" i="19"/>
  <c r="AI78" i="19"/>
  <c r="AJ78" i="19"/>
  <c r="AJ36" i="19"/>
  <c r="AL36" i="19"/>
  <c r="AK38" i="18"/>
  <c r="AM38" i="18"/>
  <c r="AH39" i="18"/>
  <c r="AI39" i="18"/>
  <c r="AJ39" i="18"/>
  <c r="AM85" i="18"/>
  <c r="AH86" i="18"/>
  <c r="AO16" i="19"/>
  <c r="AP16" i="19"/>
  <c r="AN18" i="19"/>
  <c r="CQ6" i="7"/>
  <c r="M16" i="19"/>
  <c r="L16" i="19"/>
  <c r="R16" i="19"/>
  <c r="AB16" i="19"/>
  <c r="AC16" i="19"/>
  <c r="Q16" i="19"/>
  <c r="X16" i="19"/>
  <c r="AK56" i="19"/>
  <c r="AL56" i="19"/>
  <c r="AG66" i="18"/>
  <c r="CP11" i="7"/>
  <c r="AI64" i="18"/>
  <c r="AJ64" i="18"/>
  <c r="AL77" i="19"/>
  <c r="V16" i="19"/>
  <c r="W16" i="19"/>
  <c r="AE16" i="19"/>
  <c r="AF16" i="19"/>
  <c r="Y16" i="19"/>
  <c r="Z16" i="19"/>
  <c r="S16" i="19"/>
  <c r="T16" i="19"/>
  <c r="AD16" i="19"/>
  <c r="U16" i="19"/>
  <c r="O16" i="19"/>
  <c r="P16" i="19"/>
  <c r="AA16" i="19"/>
  <c r="N16" i="19"/>
  <c r="A19" i="19"/>
  <c r="CT2" i="9"/>
  <c r="I50" i="23"/>
  <c r="I55" i="23"/>
  <c r="I53" i="23"/>
  <c r="I51" i="23"/>
  <c r="I54" i="23"/>
  <c r="I52" i="23"/>
  <c r="I57" i="23"/>
  <c r="I56" i="23"/>
  <c r="AK78" i="19"/>
  <c r="AL78" i="19"/>
  <c r="AM36" i="19"/>
  <c r="AH37" i="19"/>
  <c r="AL38" i="18"/>
  <c r="AK86" i="18"/>
  <c r="AI86" i="18"/>
  <c r="AM56" i="19"/>
  <c r="AH57" i="19"/>
  <c r="AK57" i="19"/>
  <c r="AM64" i="18"/>
  <c r="AH65" i="18"/>
  <c r="AL64" i="18"/>
  <c r="AK39" i="18"/>
  <c r="AL39" i="18"/>
  <c r="AG16" i="19"/>
  <c r="AG17" i="19"/>
  <c r="AG18" i="19"/>
  <c r="D7" i="17"/>
  <c r="G17" i="19"/>
  <c r="I17" i="19"/>
  <c r="AM78" i="19"/>
  <c r="AH79" i="19"/>
  <c r="AK79" i="19"/>
  <c r="AI37" i="19"/>
  <c r="AJ37" i="19"/>
  <c r="AM37" i="19"/>
  <c r="AH38" i="19"/>
  <c r="AK37" i="19"/>
  <c r="AL37" i="19"/>
  <c r="AJ86" i="18"/>
  <c r="AM86" i="18"/>
  <c r="AH87" i="18"/>
  <c r="AI57" i="19"/>
  <c r="AI65" i="18"/>
  <c r="AJ65" i="18"/>
  <c r="AK65" i="18"/>
  <c r="AM39" i="18"/>
  <c r="AH40" i="18"/>
  <c r="AK40" i="18"/>
  <c r="J16" i="19"/>
  <c r="J6" i="19"/>
  <c r="BX24" i="2"/>
  <c r="BY24" i="2"/>
  <c r="BX27" i="2"/>
  <c r="BY27" i="2"/>
  <c r="BX26" i="2"/>
  <c r="BY26" i="2"/>
  <c r="BX25" i="2"/>
  <c r="BY25" i="2"/>
  <c r="BX33" i="2"/>
  <c r="BY33" i="2"/>
  <c r="BX32" i="2"/>
  <c r="BY32" i="2"/>
  <c r="BZ32" i="2"/>
  <c r="BX31" i="2"/>
  <c r="BX30" i="2"/>
  <c r="BX29" i="2"/>
  <c r="BY29" i="2"/>
  <c r="BZ29" i="2"/>
  <c r="BX42" i="2"/>
  <c r="BX41" i="2"/>
  <c r="BX40" i="2"/>
  <c r="BX39" i="2"/>
  <c r="BX38" i="2"/>
  <c r="BX37" i="2"/>
  <c r="BX35" i="2"/>
  <c r="BX34" i="2"/>
  <c r="BX43" i="2"/>
  <c r="AI79" i="19"/>
  <c r="AJ57" i="19"/>
  <c r="AL57" i="19"/>
  <c r="AI38" i="19"/>
  <c r="AJ38" i="19"/>
  <c r="AK38" i="19"/>
  <c r="AM38" i="19"/>
  <c r="AH39" i="19"/>
  <c r="AL38" i="19"/>
  <c r="AI87" i="18"/>
  <c r="AJ87" i="18"/>
  <c r="AK87" i="18"/>
  <c r="AM87" i="18"/>
  <c r="AH88" i="18"/>
  <c r="AL87" i="18"/>
  <c r="AL86" i="18"/>
  <c r="AL65" i="18"/>
  <c r="AM65" i="18"/>
  <c r="AH66" i="18"/>
  <c r="AI40" i="18"/>
  <c r="CQ5" i="7"/>
  <c r="BY43" i="2"/>
  <c r="BZ43" i="2"/>
  <c r="BY34" i="2"/>
  <c r="BY35" i="2"/>
  <c r="BZ35" i="2"/>
  <c r="BY37" i="2"/>
  <c r="BZ37" i="2"/>
  <c r="BY38" i="2"/>
  <c r="BZ38" i="2"/>
  <c r="BY39" i="2"/>
  <c r="BY40" i="2"/>
  <c r="BZ40" i="2"/>
  <c r="BY41" i="2"/>
  <c r="BY42" i="2"/>
  <c r="BZ42" i="2"/>
  <c r="BY30" i="2"/>
  <c r="BZ30" i="2"/>
  <c r="BY31" i="2"/>
  <c r="BZ31" i="2"/>
  <c r="BZ33" i="2"/>
  <c r="CA33" i="2"/>
  <c r="BZ25" i="2"/>
  <c r="CA25" i="2"/>
  <c r="BZ26" i="2"/>
  <c r="CA26" i="2"/>
  <c r="BZ27" i="2"/>
  <c r="CA27" i="2"/>
  <c r="BZ24" i="2"/>
  <c r="CA24" i="2"/>
  <c r="CA29" i="2"/>
  <c r="CA32" i="2"/>
  <c r="AJ79" i="19"/>
  <c r="AM79" i="19"/>
  <c r="AM57" i="19"/>
  <c r="AH58" i="19"/>
  <c r="AK58" i="19"/>
  <c r="AI39" i="19"/>
  <c r="AJ39" i="19"/>
  <c r="AK39" i="19"/>
  <c r="AM39" i="19"/>
  <c r="AJ40" i="18"/>
  <c r="AL40" i="18"/>
  <c r="AK88" i="18"/>
  <c r="AI88" i="18"/>
  <c r="AK66" i="18"/>
  <c r="AI66" i="18"/>
  <c r="AJ66" i="18"/>
  <c r="AH10" i="19"/>
  <c r="BZ41" i="2"/>
  <c r="CA41" i="2"/>
  <c r="BZ39" i="2"/>
  <c r="CA39" i="2"/>
  <c r="BZ34" i="2"/>
  <c r="CA34" i="2"/>
  <c r="AL39" i="19"/>
  <c r="AH40" i="19"/>
  <c r="CV3" i="9"/>
  <c r="CA35" i="2"/>
  <c r="CA30" i="2"/>
  <c r="CA37" i="2"/>
  <c r="CA42" i="2"/>
  <c r="CA43" i="2"/>
  <c r="CA38" i="2"/>
  <c r="CA31" i="2"/>
  <c r="CA40" i="2"/>
  <c r="AL79" i="19"/>
  <c r="AH80" i="19"/>
  <c r="CV5" i="9"/>
  <c r="AI58" i="19"/>
  <c r="AM40" i="18"/>
  <c r="AH41" i="18"/>
  <c r="AK41" i="18"/>
  <c r="AJ88" i="18"/>
  <c r="AL88" i="18"/>
  <c r="AM66" i="18"/>
  <c r="AH67" i="18"/>
  <c r="AL66" i="18"/>
  <c r="AI10" i="19"/>
  <c r="AJ10" i="19"/>
  <c r="AK10" i="19"/>
  <c r="AJ58" i="19"/>
  <c r="AM58" i="19"/>
  <c r="AH59" i="19"/>
  <c r="AI59" i="19"/>
  <c r="AJ59" i="19"/>
  <c r="AM88" i="18"/>
  <c r="AH89" i="18"/>
  <c r="AI89" i="18"/>
  <c r="AJ89" i="18"/>
  <c r="AI41" i="18"/>
  <c r="AI67" i="18"/>
  <c r="AJ67" i="18"/>
  <c r="AK67" i="18"/>
  <c r="AM10" i="19"/>
  <c r="AH11" i="19"/>
  <c r="AK11" i="19"/>
  <c r="AL10" i="19"/>
  <c r="AK59" i="19"/>
  <c r="AM59" i="19"/>
  <c r="AL58" i="19"/>
  <c r="AK89" i="18"/>
  <c r="AM89" i="18"/>
  <c r="AH90" i="18"/>
  <c r="AK90" i="18"/>
  <c r="AJ41" i="18"/>
  <c r="AL41" i="18"/>
  <c r="AL89" i="18"/>
  <c r="AL59" i="19"/>
  <c r="AH60" i="19"/>
  <c r="CV4" i="9"/>
  <c r="AM67" i="18"/>
  <c r="AL67" i="18"/>
  <c r="AH68" i="18"/>
  <c r="CU4" i="9"/>
  <c r="AI11" i="19"/>
  <c r="AJ11" i="19"/>
  <c r="AM11" i="19"/>
  <c r="AH12" i="19"/>
  <c r="AI90" i="18"/>
  <c r="AM41" i="18"/>
  <c r="AH42" i="18"/>
  <c r="AJ90" i="18"/>
  <c r="AM90" i="18"/>
  <c r="AH91" i="18"/>
  <c r="AL11" i="19"/>
  <c r="AI12" i="19"/>
  <c r="AJ12" i="19"/>
  <c r="AK12" i="19"/>
  <c r="AL12" i="19"/>
  <c r="AK42" i="18"/>
  <c r="AI42" i="18"/>
  <c r="AI91" i="18"/>
  <c r="AK91" i="18"/>
  <c r="AL90" i="18"/>
  <c r="AM12" i="19"/>
  <c r="AH13" i="19"/>
  <c r="AK13" i="19"/>
  <c r="AJ91" i="18"/>
  <c r="AL91" i="18"/>
  <c r="AH92" i="18"/>
  <c r="CU5" i="9"/>
  <c r="AJ42" i="18"/>
  <c r="AL42" i="18"/>
  <c r="AM91" i="18"/>
  <c r="AI13" i="19"/>
  <c r="AM42" i="18"/>
  <c r="AH43" i="18"/>
  <c r="AJ13" i="19"/>
  <c r="AL13" i="19"/>
  <c r="AI43" i="18"/>
  <c r="AJ43" i="18"/>
  <c r="AL43" i="18"/>
  <c r="AH44" i="18"/>
  <c r="CU3" i="9"/>
  <c r="AK43" i="18"/>
  <c r="AM13" i="19"/>
  <c r="AH14" i="19"/>
  <c r="AM43" i="18"/>
  <c r="AK14" i="19"/>
  <c r="AI14" i="19"/>
  <c r="AJ14" i="19"/>
  <c r="AM14" i="19"/>
  <c r="AH15" i="19"/>
  <c r="AI15" i="19"/>
  <c r="AJ15" i="19"/>
  <c r="AK15" i="19"/>
  <c r="AM15" i="19"/>
  <c r="AH16" i="19"/>
  <c r="AL15" i="19"/>
  <c r="AL14" i="19"/>
  <c r="AK16" i="19"/>
  <c r="AI16" i="19"/>
  <c r="AJ16" i="19"/>
  <c r="AM16" i="19"/>
  <c r="AH17" i="19"/>
  <c r="AK17" i="19"/>
  <c r="AI17" i="19"/>
  <c r="AL16" i="19"/>
  <c r="AJ17" i="19"/>
  <c r="AM17" i="19"/>
  <c r="AH18" i="19"/>
  <c r="AK18" i="19"/>
  <c r="AI18" i="19"/>
  <c r="AL17" i="19"/>
  <c r="T9" i="18"/>
  <c r="BL36" i="2"/>
  <c r="BM36" i="2"/>
  <c r="Y9" i="18"/>
  <c r="Z9" i="18"/>
  <c r="AJ18" i="19"/>
  <c r="AL18" i="19"/>
  <c r="V9" i="18"/>
  <c r="W9" i="18"/>
  <c r="BN36" i="2"/>
  <c r="AB9" i="18"/>
  <c r="AC9" i="18"/>
  <c r="BV36" i="2"/>
  <c r="AM18" i="19"/>
  <c r="AH19" i="19"/>
  <c r="BW36" i="2"/>
  <c r="BO36" i="2"/>
  <c r="AE9" i="18"/>
  <c r="AF9" i="18"/>
  <c r="AI19" i="19"/>
  <c r="AJ19" i="19"/>
  <c r="AK19" i="19"/>
  <c r="AL19" i="19"/>
  <c r="AH20" i="19"/>
  <c r="CV2" i="9"/>
  <c r="BX36" i="2"/>
  <c r="BY36" i="2"/>
  <c r="AG9" i="18"/>
  <c r="AG17" i="18"/>
  <c r="AG18" i="18"/>
  <c r="CP5" i="7"/>
  <c r="I73" i="23"/>
  <c r="I68" i="23"/>
  <c r="I71" i="23"/>
  <c r="I70" i="23"/>
  <c r="I63" i="23"/>
  <c r="I69" i="23"/>
  <c r="J74" i="23"/>
  <c r="I67" i="23"/>
  <c r="I66" i="23"/>
  <c r="I65" i="23"/>
  <c r="I72" i="23"/>
  <c r="I64" i="23"/>
  <c r="I62" i="23"/>
  <c r="AM19" i="19"/>
  <c r="BZ36" i="2"/>
  <c r="AK9" i="18"/>
  <c r="CA36" i="2"/>
  <c r="AL9" i="18"/>
  <c r="AM9" i="18"/>
  <c r="AH10" i="18"/>
  <c r="AI10" i="18"/>
  <c r="AJ10" i="18"/>
  <c r="AK10" i="18"/>
  <c r="AM10" i="18"/>
  <c r="AH11" i="18"/>
  <c r="AK11" i="18"/>
  <c r="AL10" i="18"/>
  <c r="AI11" i="18"/>
  <c r="AJ11" i="18"/>
  <c r="AL11" i="18"/>
  <c r="AM11" i="18"/>
  <c r="AH12" i="18"/>
  <c r="AK12" i="18"/>
  <c r="AI12" i="18"/>
  <c r="AJ12" i="18"/>
  <c r="AL12" i="18"/>
  <c r="AM12" i="18"/>
  <c r="AH13" i="18"/>
  <c r="AI13" i="18"/>
  <c r="AJ13" i="18"/>
  <c r="AK13" i="18"/>
  <c r="AM13" i="18"/>
  <c r="AH14" i="18"/>
  <c r="AL13" i="18"/>
  <c r="AK14" i="18"/>
  <c r="AI14" i="18"/>
  <c r="AJ14" i="18"/>
  <c r="AL14" i="18"/>
  <c r="AM14" i="18"/>
  <c r="AH15" i="18"/>
  <c r="AI15" i="18"/>
  <c r="AJ15" i="18"/>
  <c r="AK15" i="18"/>
  <c r="AL15" i="18"/>
  <c r="AM15" i="18"/>
  <c r="AH16" i="18"/>
  <c r="AK16" i="18"/>
  <c r="AI16" i="18"/>
  <c r="AJ16" i="18"/>
  <c r="AL16" i="18"/>
  <c r="AM16" i="18"/>
  <c r="AH17" i="18"/>
  <c r="AI17" i="18"/>
  <c r="AJ17" i="18"/>
  <c r="AK17" i="18"/>
  <c r="AM17" i="18"/>
  <c r="AH18" i="18"/>
  <c r="AK18" i="18"/>
  <c r="AI18" i="18"/>
  <c r="AJ18" i="18"/>
  <c r="AL18" i="18"/>
  <c r="AL17" i="18"/>
  <c r="AM18" i="18"/>
  <c r="AH19" i="18"/>
  <c r="AK19" i="18"/>
  <c r="AI19" i="18"/>
  <c r="AJ19" i="18"/>
  <c r="AM19" i="18"/>
  <c r="AL19" i="18"/>
  <c r="AH20" i="18"/>
  <c r="CU2" i="9"/>
  <c r="A69" i="23"/>
  <c r="A68" i="23"/>
  <c r="A73" i="23"/>
  <c r="A72" i="23"/>
  <c r="A64" i="23"/>
  <c r="A71" i="23"/>
  <c r="A67" i="23"/>
  <c r="A65" i="23"/>
  <c r="A74" i="23"/>
  <c r="A63" i="23"/>
  <c r="A70" i="23"/>
  <c r="A62" i="23"/>
  <c r="A66" i="23"/>
</calcChain>
</file>

<file path=xl/comments1.xml><?xml version="1.0" encoding="utf-8"?>
<comments xmlns="http://schemas.openxmlformats.org/spreadsheetml/2006/main">
  <authors>
    <author>Mattia</author>
  </authors>
  <commentList>
    <comment ref="A12" authorId="0">
      <text>
        <r>
          <rPr>
            <sz val="9"/>
            <color indexed="81"/>
            <rFont val="Tahoma"/>
            <family val="2"/>
          </rPr>
          <t>Numero di righe  disponibili in aggiunta per le prescrizioni tecniche</t>
        </r>
      </text>
    </comment>
  </commentList>
</comments>
</file>

<file path=xl/sharedStrings.xml><?xml version="1.0" encoding="utf-8"?>
<sst xmlns="http://schemas.openxmlformats.org/spreadsheetml/2006/main" count="2003" uniqueCount="914">
  <si>
    <t xml:space="preserve">via Marco Ulpio Traiano, 40 - 20149
Milano (MI)
mail: cpa.milano@mit.gov.it      
telefono:  (+39) 02 3271246 </t>
  </si>
  <si>
    <t>via Achillle Grandi, 1 - 25125
Brescia (BS)
mail: direzione.cpabs@mit.gov.it
telefono: (+39) 030 3582622</t>
  </si>
  <si>
    <t>1.0</t>
  </si>
  <si>
    <t>INSERIMENTO</t>
  </si>
  <si>
    <t>1.1</t>
  </si>
  <si>
    <t>1.2</t>
  </si>
  <si>
    <t>2.0</t>
  </si>
  <si>
    <t>ANTEPRIMA</t>
  </si>
  <si>
    <t>2.1</t>
  </si>
  <si>
    <t>2.2</t>
  </si>
  <si>
    <t>LUNGHEZZA CAMPO</t>
  </si>
  <si>
    <t>LUNGHEZZA DECIMALI</t>
  </si>
  <si>
    <r>
      <t xml:space="preserve">TIPO OPERAZIONE
</t>
    </r>
    <r>
      <rPr>
        <sz val="12"/>
        <color theme="3" tint="0.39997558519241921"/>
        <rFont val="Calibri"/>
        <family val="2"/>
        <scheme val="minor"/>
      </rPr>
      <t>[elenco]</t>
    </r>
  </si>
  <si>
    <t>CODICE OMOLOGAZIONE</t>
  </si>
  <si>
    <r>
      <t xml:space="preserve">DATA OMOLOG.
</t>
    </r>
    <r>
      <rPr>
        <sz val="12"/>
        <color theme="1"/>
        <rFont val="Calibri"/>
        <family val="2"/>
        <scheme val="minor"/>
      </rPr>
      <t xml:space="preserve">(mmaaaa) </t>
    </r>
  </si>
  <si>
    <t>NUMERO OMOLOGAZIONE EUROPEA</t>
  </si>
  <si>
    <r>
      <t xml:space="preserve">DATA OMOLOG. EUROPEA
</t>
    </r>
    <r>
      <rPr>
        <sz val="12"/>
        <color theme="1"/>
        <rFont val="Calibri"/>
        <family val="2"/>
        <scheme val="minor"/>
      </rPr>
      <t>(ggmmaaaa)</t>
    </r>
  </si>
  <si>
    <r>
      <t xml:space="preserve">DATA SCADENZA OMOLOGAZIONE
</t>
    </r>
    <r>
      <rPr>
        <sz val="12"/>
        <color theme="1"/>
        <rFont val="Calibri"/>
        <family val="2"/>
        <scheme val="minor"/>
      </rPr>
      <t>(mmaaaa)</t>
    </r>
  </si>
  <si>
    <t>CATEGORIA
[elenco]</t>
  </si>
  <si>
    <t>PRESCRIZIONI TECNICHE DI CIRCOLAZIONE 1
[elenco]</t>
  </si>
  <si>
    <t xml:space="preserve">PRESCRIZIONI TECNICHE DI CIRCOLAZIONE 2
[elenco] </t>
  </si>
  <si>
    <t>PRESCRIZIONI TECNICHE DI CIRCOLAZIONE 3
[elenco]</t>
  </si>
  <si>
    <t>PRESCRIZIONI TECNICHE DI CIRCOLAZIONE 4
[elenco]</t>
  </si>
  <si>
    <t>PRESCRIZIONI TECNICHE DI CIRCOLAZIONE 5
[elenco]</t>
  </si>
  <si>
    <t>FABBRICA E TIPO</t>
  </si>
  <si>
    <t>NAZIONALITA' FABBRICA
[elenco]</t>
  </si>
  <si>
    <t>MOTORE</t>
  </si>
  <si>
    <t>COMBUSTIBILE
[elenco]</t>
  </si>
  <si>
    <t>TEMPI
[elenco]</t>
  </si>
  <si>
    <t>NUM. CILINDRI</t>
  </si>
  <si>
    <r>
      <t xml:space="preserve">CILINDRATA
</t>
    </r>
    <r>
      <rPr>
        <sz val="12"/>
        <color theme="1"/>
        <rFont val="Calibri"/>
        <family val="2"/>
        <scheme val="minor"/>
      </rPr>
      <t>[cc]</t>
    </r>
  </si>
  <si>
    <t>POTENZA
[kW]
(123,4)</t>
  </si>
  <si>
    <t>APPROVAZIONE SILENZIATORE</t>
  </si>
  <si>
    <r>
      <t xml:space="preserve">DECIBEL
</t>
    </r>
    <r>
      <rPr>
        <sz val="12"/>
        <color theme="1"/>
        <rFont val="Calibri"/>
        <family val="2"/>
        <scheme val="minor"/>
      </rPr>
      <t>[dB]</t>
    </r>
  </si>
  <si>
    <r>
      <t xml:space="preserve">GIRI CONTROLLO
</t>
    </r>
    <r>
      <rPr>
        <sz val="12"/>
        <color theme="1"/>
        <rFont val="Calibri"/>
        <family val="2"/>
        <scheme val="minor"/>
      </rPr>
      <t>[rpm]</t>
    </r>
  </si>
  <si>
    <r>
      <t xml:space="preserve">LUNGHEZZA
</t>
    </r>
    <r>
      <rPr>
        <sz val="12"/>
        <color theme="1"/>
        <rFont val="Calibri"/>
        <family val="2"/>
        <scheme val="minor"/>
      </rPr>
      <t>[mm]</t>
    </r>
  </si>
  <si>
    <r>
      <t xml:space="preserve">LARGHEZZA
</t>
    </r>
    <r>
      <rPr>
        <sz val="12"/>
        <color theme="1"/>
        <rFont val="Calibri"/>
        <family val="2"/>
        <scheme val="minor"/>
      </rPr>
      <t>[mm]</t>
    </r>
  </si>
  <si>
    <r>
      <t xml:space="preserve">SBALZO ANTERIORE
</t>
    </r>
    <r>
      <rPr>
        <sz val="12"/>
        <color theme="1"/>
        <rFont val="Calibri"/>
        <family val="2"/>
        <scheme val="minor"/>
      </rPr>
      <t>[mm]</t>
    </r>
  </si>
  <si>
    <r>
      <t xml:space="preserve">SBALZO POSTERIORE
</t>
    </r>
    <r>
      <rPr>
        <sz val="12"/>
        <color theme="1"/>
        <rFont val="Calibri"/>
        <family val="2"/>
        <scheme val="minor"/>
      </rPr>
      <t>[mm]</t>
    </r>
  </si>
  <si>
    <r>
      <t xml:space="preserve">ALTEZZA
</t>
    </r>
    <r>
      <rPr>
        <sz val="12"/>
        <color theme="1"/>
        <rFont val="Calibri"/>
        <family val="2"/>
        <scheme val="minor"/>
      </rPr>
      <t>[m]
(1,23)</t>
    </r>
  </si>
  <si>
    <t>SAGOMA FERROVIARIA
[elenco]</t>
  </si>
  <si>
    <r>
      <t xml:space="preserve">INTERASSE 1
</t>
    </r>
    <r>
      <rPr>
        <sz val="12"/>
        <color theme="1"/>
        <rFont val="Calibri"/>
        <family val="2"/>
        <scheme val="minor"/>
      </rPr>
      <t>[mm]</t>
    </r>
  </si>
  <si>
    <r>
      <t xml:space="preserve">INTERASSE 2
</t>
    </r>
    <r>
      <rPr>
        <sz val="12"/>
        <color theme="1"/>
        <rFont val="Calibri"/>
        <family val="2"/>
        <scheme val="minor"/>
      </rPr>
      <t>[mm]</t>
    </r>
  </si>
  <si>
    <r>
      <t xml:space="preserve">INTERASSE 3
</t>
    </r>
    <r>
      <rPr>
        <sz val="12"/>
        <color theme="1"/>
        <rFont val="Calibri"/>
        <family val="2"/>
        <scheme val="minor"/>
      </rPr>
      <t>[mm]</t>
    </r>
  </si>
  <si>
    <t>NUMERO ASSI</t>
  </si>
  <si>
    <r>
      <t xml:space="preserve">TARA
</t>
    </r>
    <r>
      <rPr>
        <sz val="12"/>
        <color theme="1"/>
        <rFont val="Calibri"/>
        <family val="2"/>
        <scheme val="minor"/>
      </rPr>
      <t>[kg]</t>
    </r>
  </si>
  <si>
    <r>
      <t xml:space="preserve">MASSA COMPL.
</t>
    </r>
    <r>
      <rPr>
        <sz val="12"/>
        <color theme="1"/>
        <rFont val="Calibri"/>
        <family val="2"/>
        <scheme val="minor"/>
      </rPr>
      <t>[kg]</t>
    </r>
  </si>
  <si>
    <r>
      <t xml:space="preserve">MASSA RIM.LE
</t>
    </r>
    <r>
      <rPr>
        <sz val="12"/>
        <color theme="1"/>
        <rFont val="Calibri"/>
        <family val="2"/>
        <scheme val="minor"/>
      </rPr>
      <t>[kg]</t>
    </r>
  </si>
  <si>
    <r>
      <t xml:space="preserve">MASSA MASSIMA ASSE X
</t>
    </r>
    <r>
      <rPr>
        <sz val="12"/>
        <rFont val="Calibri"/>
        <family val="2"/>
        <scheme val="minor"/>
      </rPr>
      <t>[kg]</t>
    </r>
  </si>
  <si>
    <t xml:space="preserve"> NUMERO ASSE X</t>
  </si>
  <si>
    <r>
      <t xml:space="preserve">MASSA MASSIMA ASSE Y
</t>
    </r>
    <r>
      <rPr>
        <sz val="12"/>
        <color theme="1"/>
        <rFont val="Calibri"/>
        <family val="2"/>
        <scheme val="minor"/>
      </rPr>
      <t>[kg]</t>
    </r>
  </si>
  <si>
    <t xml:space="preserve"> NUMERO ASSE Y</t>
  </si>
  <si>
    <t>PNEU 1: CINGOLI
[elenco]</t>
  </si>
  <si>
    <t>PNEU 2: TIPO</t>
  </si>
  <si>
    <r>
      <t xml:space="preserve">FRENO DI SERVIZIO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</si>
  <si>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FRENO DI SOCCORSO
</t>
    </r>
    <r>
      <rPr>
        <sz val="12"/>
        <color theme="3" tint="0.39997558519241921"/>
        <rFont val="Calibri"/>
        <family val="2"/>
        <scheme val="minor"/>
      </rPr>
      <t>[elenco]</t>
    </r>
  </si>
  <si>
    <t>AUTONOMIA DI LAVORO
[h]</t>
  </si>
  <si>
    <r>
      <t xml:space="preserve">VELOCITA' MASSIMA TEORICA
</t>
    </r>
    <r>
      <rPr>
        <sz val="12"/>
        <rFont val="Calibri"/>
        <family val="2"/>
        <scheme val="minor"/>
      </rPr>
      <t>[km/h]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(12,3)</t>
    </r>
  </si>
  <si>
    <r>
      <t xml:space="preserve">VELOCITA'   MASSIMA EFFETTIVA
</t>
    </r>
    <r>
      <rPr>
        <sz val="12"/>
        <rFont val="Calibri"/>
        <family val="2"/>
        <scheme val="minor"/>
      </rPr>
      <t>[km/h]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(12,3)</t>
    </r>
  </si>
  <si>
    <r>
      <t xml:space="preserve">TIPOLOGIA VEICOLO TRAINANTE
</t>
    </r>
    <r>
      <rPr>
        <sz val="12"/>
        <color theme="3" tint="0.39997558519241921"/>
        <rFont val="Calibri"/>
        <family val="2"/>
        <scheme val="minor"/>
      </rPr>
      <t>[elenco]</t>
    </r>
  </si>
  <si>
    <t>RIGA DESCR. 1</t>
  </si>
  <si>
    <r>
      <t xml:space="preserve">CODICE IMPIEGO N.1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</si>
  <si>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IMPIEGO N.2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</si>
  <si>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IMPIEGO N.3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</si>
  <si>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IMPIEGO N.4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</si>
  <si>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IMPIEGO N.5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</si>
  <si>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ATTREZZATURA
N.1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</si>
  <si>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ATTREZZATURA
N.2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</si>
  <si>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ATTREZZATURA
N.3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</si>
  <si>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ATTREZZATURA
N.4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</si>
  <si>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CODICE ATTREZZATURA
N.5
</t>
    </r>
    <r>
      <rPr>
        <sz val="12"/>
        <color theme="3" tint="0.39997558519241921"/>
        <rFont val="Calibri"/>
        <family val="2"/>
        <scheme val="minor"/>
      </rPr>
      <t>[elenco]</t>
    </r>
  </si>
  <si>
    <r>
      <t xml:space="preserve">LUNGHEZZA MASSIMA CON ATTREZZI
</t>
    </r>
    <r>
      <rPr>
        <sz val="12"/>
        <color theme="1"/>
        <rFont val="Calibri"/>
        <family val="2"/>
        <scheme val="minor"/>
      </rPr>
      <t>[mm]</t>
    </r>
  </si>
  <si>
    <r>
      <t xml:space="preserve">SBALZO ANTERIORE MASSIMO CON ATTREZZI
</t>
    </r>
    <r>
      <rPr>
        <sz val="12"/>
        <color theme="1"/>
        <rFont val="Calibri"/>
        <family val="2"/>
        <scheme val="minor"/>
      </rPr>
      <t>[mm]</t>
    </r>
  </si>
  <si>
    <r>
      <t xml:space="preserve">SBALZO POSTERIORE MASSIMO CON ATTREZZI
</t>
    </r>
    <r>
      <rPr>
        <sz val="12"/>
        <color theme="1"/>
        <rFont val="Calibri"/>
        <family val="2"/>
        <scheme val="minor"/>
      </rPr>
      <t>[mm]</t>
    </r>
  </si>
  <si>
    <r>
      <t xml:space="preserve">LARGHEZZA MASSIMA CON ATTREZZI
</t>
    </r>
    <r>
      <rPr>
        <sz val="12"/>
        <color theme="1"/>
        <rFont val="Calibri"/>
        <family val="2"/>
        <scheme val="minor"/>
      </rPr>
      <t>[mm]</t>
    </r>
  </si>
  <si>
    <r>
      <t xml:space="preserve">ALTEZZA MASSIMA CON ATTREZZI
</t>
    </r>
    <r>
      <rPr>
        <sz val="12"/>
        <color theme="1"/>
        <rFont val="Calibri"/>
        <family val="2"/>
        <scheme val="minor"/>
      </rPr>
      <t>[m] (1,23)</t>
    </r>
  </si>
  <si>
    <r>
      <t xml:space="preserve">DIRETTIVA CEE
</t>
    </r>
    <r>
      <rPr>
        <sz val="12"/>
        <color theme="4"/>
        <rFont val="Calibri"/>
        <family val="2"/>
        <scheme val="minor"/>
      </rPr>
      <t>[elenco]</t>
    </r>
  </si>
  <si>
    <r>
      <t xml:space="preserve">SCAVO:
LARG MIN
</t>
    </r>
    <r>
      <rPr>
        <sz val="12"/>
        <color theme="5" tint="-0.249977111117893"/>
        <rFont val="Calibri"/>
        <family val="2"/>
        <scheme val="minor"/>
      </rPr>
      <t>[m]
(12,3)</t>
    </r>
  </si>
  <si>
    <r>
      <t>SCAVO:
LARG MAX</t>
    </r>
    <r>
      <rPr>
        <sz val="12"/>
        <color theme="5" tint="-0.249977111117893"/>
        <rFont val="Calibri"/>
        <family val="2"/>
        <scheme val="minor"/>
      </rPr>
      <t xml:space="preserve">
[m]
(12,3)</t>
    </r>
  </si>
  <si>
    <r>
      <t xml:space="preserve">SCAVO:
PROF MAX
</t>
    </r>
    <r>
      <rPr>
        <sz val="12"/>
        <color theme="5" tint="-0.249977111117893"/>
        <rFont val="Calibri"/>
        <family val="2"/>
        <scheme val="minor"/>
      </rPr>
      <t>[m]
(12,3)</t>
    </r>
  </si>
  <si>
    <r>
      <t xml:space="preserve">CARICAMENTO:
CAPACITA'
</t>
    </r>
    <r>
      <rPr>
        <sz val="12"/>
        <color theme="7" tint="-0.249977111117893"/>
        <rFont val="Calibri"/>
        <family val="2"/>
        <scheme val="minor"/>
      </rPr>
      <t>[m</t>
    </r>
    <r>
      <rPr>
        <vertAlign val="superscript"/>
        <sz val="12"/>
        <color theme="7" tint="-0.249977111117893"/>
        <rFont val="Calibri"/>
        <family val="2"/>
        <scheme val="minor"/>
      </rPr>
      <t>3</t>
    </r>
    <r>
      <rPr>
        <sz val="12"/>
        <color theme="7" tint="-0.249977111117893"/>
        <rFont val="Calibri"/>
        <family val="2"/>
        <scheme val="minor"/>
      </rPr>
      <t>]
(12,3)</t>
    </r>
  </si>
  <si>
    <r>
      <t xml:space="preserve">CARICAMENTO:
ALT MAX
</t>
    </r>
    <r>
      <rPr>
        <sz val="12"/>
        <color theme="7" tint="-0.249977111117893"/>
        <rFont val="Calibri"/>
        <family val="2"/>
        <scheme val="minor"/>
      </rPr>
      <t>[m]
(12,3)</t>
    </r>
  </si>
  <si>
    <r>
      <t xml:space="preserve">PERFORAZIONE:
PROFODITA'
</t>
    </r>
    <r>
      <rPr>
        <sz val="12"/>
        <color theme="2" tint="-0.499984740745262"/>
        <rFont val="Calibri"/>
        <family val="2"/>
        <scheme val="minor"/>
      </rPr>
      <t>[m]</t>
    </r>
    <r>
      <rPr>
        <b/>
        <sz val="12"/>
        <color theme="2" tint="-0.499984740745262"/>
        <rFont val="Calibri"/>
        <family val="2"/>
        <scheme val="minor"/>
      </rPr>
      <t xml:space="preserve">
</t>
    </r>
    <r>
      <rPr>
        <sz val="12"/>
        <color theme="2" tint="-0.499984740745262"/>
        <rFont val="Calibri"/>
        <family val="2"/>
        <scheme val="minor"/>
      </rPr>
      <t>(12,3)</t>
    </r>
  </si>
  <si>
    <r>
      <t xml:space="preserve">PERFORAZIONE:
VEL MIN
</t>
    </r>
    <r>
      <rPr>
        <sz val="12"/>
        <color theme="2" tint="-0.499984740745262"/>
        <rFont val="Calibri"/>
        <family val="2"/>
        <scheme val="minor"/>
      </rPr>
      <t>[m/h]</t>
    </r>
    <r>
      <rPr>
        <b/>
        <sz val="12"/>
        <color theme="2" tint="-0.499984740745262"/>
        <rFont val="Calibri"/>
        <family val="2"/>
        <scheme val="minor"/>
      </rPr>
      <t xml:space="preserve">
</t>
    </r>
    <r>
      <rPr>
        <sz val="12"/>
        <color theme="2" tint="-0.499984740745262"/>
        <rFont val="Calibri"/>
        <family val="2"/>
        <scheme val="minor"/>
      </rPr>
      <t>(12,34)</t>
    </r>
  </si>
  <si>
    <r>
      <t xml:space="preserve">PERFORAZIONE:
VEL MAX
</t>
    </r>
    <r>
      <rPr>
        <sz val="12"/>
        <color theme="2" tint="-0.499984740745262"/>
        <rFont val="Calibri"/>
        <family val="2"/>
        <scheme val="minor"/>
      </rPr>
      <t>[m/h]</t>
    </r>
    <r>
      <rPr>
        <b/>
        <sz val="12"/>
        <color theme="2" tint="-0.499984740745262"/>
        <rFont val="Calibri"/>
        <family val="2"/>
        <scheme val="minor"/>
      </rPr>
      <t xml:space="preserve">
</t>
    </r>
    <r>
      <rPr>
        <sz val="12"/>
        <color theme="2" tint="-0.499984740745262"/>
        <rFont val="Calibri"/>
        <family val="2"/>
        <scheme val="minor"/>
      </rPr>
      <t>(12,34)</t>
    </r>
  </si>
  <si>
    <r>
      <t xml:space="preserve">PERFORAZIONE:
DIAM MIN
</t>
    </r>
    <r>
      <rPr>
        <sz val="12"/>
        <color theme="2" tint="-0.499984740745262"/>
        <rFont val="Calibri"/>
        <family val="2"/>
        <scheme val="minor"/>
      </rPr>
      <t>[m]
(12,3)</t>
    </r>
  </si>
  <si>
    <r>
      <t xml:space="preserve">PERFORAZIONE:
DIAM MAX
</t>
    </r>
    <r>
      <rPr>
        <sz val="12"/>
        <color theme="2" tint="-0.499984740745262"/>
        <rFont val="Calibri"/>
        <family val="2"/>
        <scheme val="minor"/>
      </rPr>
      <t>[m]
(12,3)</t>
    </r>
  </si>
  <si>
    <r>
      <t xml:space="preserve">LIVELLAMENTO:
LARG MAX
</t>
    </r>
    <r>
      <rPr>
        <sz val="12"/>
        <color theme="7" tint="-0.249977111117893"/>
        <rFont val="Calibri"/>
        <family val="2"/>
        <scheme val="minor"/>
      </rPr>
      <t>[m]
(12,3)</t>
    </r>
  </si>
  <si>
    <r>
      <t xml:space="preserve">LIVELLAMENTO:
VELOCITA'
</t>
    </r>
    <r>
      <rPr>
        <sz val="12"/>
        <color theme="7" tint="-0.249977111117893"/>
        <rFont val="Calibri"/>
        <family val="2"/>
        <scheme val="minor"/>
      </rPr>
      <t>[km/h]</t>
    </r>
  </si>
  <si>
    <r>
      <t xml:space="preserve">TRASPORTO:
VOLUME CARICO
</t>
    </r>
    <r>
      <rPr>
        <sz val="12"/>
        <color theme="5" tint="-0.249977111117893"/>
        <rFont val="Calibri"/>
        <family val="2"/>
        <scheme val="minor"/>
      </rPr>
      <t>[m</t>
    </r>
    <r>
      <rPr>
        <vertAlign val="superscript"/>
        <sz val="12"/>
        <color theme="5" tint="-0.249977111117893"/>
        <rFont val="Calibri"/>
        <family val="2"/>
        <scheme val="minor"/>
      </rPr>
      <t>3</t>
    </r>
    <r>
      <rPr>
        <sz val="12"/>
        <color theme="5" tint="-0.249977111117893"/>
        <rFont val="Calibri"/>
        <family val="2"/>
        <scheme val="minor"/>
      </rPr>
      <t>]
(12,3)</t>
    </r>
  </si>
  <si>
    <r>
      <t xml:space="preserve">TRASPORTO:
PORTATA
</t>
    </r>
    <r>
      <rPr>
        <sz val="12"/>
        <color theme="5" tint="-0.249977111117893"/>
        <rFont val="Calibri"/>
        <family val="2"/>
        <scheme val="minor"/>
      </rPr>
      <t>[kg]</t>
    </r>
  </si>
  <si>
    <r>
      <t xml:space="preserve">COMPATTAMENTO:
LARG MAX
</t>
    </r>
    <r>
      <rPr>
        <sz val="12"/>
        <color theme="7" tint="-0.249977111117893"/>
        <rFont val="Calibri"/>
        <family val="2"/>
        <scheme val="minor"/>
      </rPr>
      <t>[m]
(12,3)</t>
    </r>
  </si>
  <si>
    <r>
      <t xml:space="preserve">COMPATTAMENTO:
VELOC
</t>
    </r>
    <r>
      <rPr>
        <sz val="12"/>
        <color theme="7" tint="-0.249977111117893"/>
        <rFont val="Calibri"/>
        <family val="2"/>
        <scheme val="minor"/>
      </rPr>
      <t>[km/h]</t>
    </r>
  </si>
  <si>
    <r>
      <t xml:space="preserve">SOLLEVAMENTO:
MASSA MAX
CON ZAVORRA
</t>
    </r>
    <r>
      <rPr>
        <sz val="12"/>
        <color theme="6" tint="-0.499984740745262"/>
        <rFont val="Calibri"/>
        <family val="2"/>
        <scheme val="minor"/>
      </rPr>
      <t>[kg]</t>
    </r>
  </si>
  <si>
    <r>
      <t xml:space="preserve">SOLLEVAMENTO:
MASSA MAX
SENZA ZAVORRA
</t>
    </r>
    <r>
      <rPr>
        <sz val="12"/>
        <color theme="6" tint="-0.499984740745262"/>
        <rFont val="Calibri"/>
        <family val="2"/>
        <scheme val="minor"/>
      </rPr>
      <t>[kg]</t>
    </r>
  </si>
  <si>
    <r>
      <t xml:space="preserve">SOLLEVAMENTO:
MASSA MAX STANDARD
</t>
    </r>
    <r>
      <rPr>
        <sz val="12"/>
        <color theme="6" tint="-0.499984740745262"/>
        <rFont val="Calibri"/>
        <family val="2"/>
        <scheme val="minor"/>
      </rPr>
      <t>[kg]</t>
    </r>
  </si>
  <si>
    <r>
      <t xml:space="preserve">SOLLEVAMENTO:
ALTEZZA MAX
</t>
    </r>
    <r>
      <rPr>
        <sz val="12"/>
        <color theme="6" tint="-0.499984740745262"/>
        <rFont val="Calibri"/>
        <family val="2"/>
        <scheme val="minor"/>
      </rPr>
      <t>[m]
(12,3)</t>
    </r>
  </si>
  <si>
    <r>
      <t xml:space="preserve">SOLLEVAMENTO:
SBRACCIO MAX
</t>
    </r>
    <r>
      <rPr>
        <sz val="12"/>
        <color theme="6" tint="-0.499984740745262"/>
        <rFont val="Calibri"/>
        <family val="2"/>
        <scheme val="minor"/>
      </rPr>
      <t>[m]
(12,3)</t>
    </r>
  </si>
  <si>
    <r>
      <t xml:space="preserve">SOLLEVAMENTO:
Rapporto
MASS COMPL / SBR MAX
</t>
    </r>
    <r>
      <rPr>
        <sz val="12"/>
        <color theme="6" tint="-0.499984740745262"/>
        <rFont val="Calibri"/>
        <family val="2"/>
        <scheme val="minor"/>
      </rPr>
      <t>[kg/m]</t>
    </r>
  </si>
  <si>
    <r>
      <t xml:space="preserve">MANUTENZIONE:
LARG MAX
</t>
    </r>
    <r>
      <rPr>
        <sz val="12"/>
        <color theme="7" tint="-0.249977111117893"/>
        <rFont val="Calibri"/>
        <family val="2"/>
        <scheme val="minor"/>
      </rPr>
      <t>[m]
(12,3)</t>
    </r>
  </si>
  <si>
    <r>
      <t xml:space="preserve">MANUTENZIONE:
VELOCITA'
</t>
    </r>
    <r>
      <rPr>
        <sz val="12"/>
        <color theme="7" tint="-0.249977111117893"/>
        <rFont val="Calibri"/>
        <family val="2"/>
        <scheme val="minor"/>
      </rPr>
      <t>[km/h]</t>
    </r>
  </si>
  <si>
    <r>
      <t xml:space="preserve">FINITURA:
LARG MAX
</t>
    </r>
    <r>
      <rPr>
        <sz val="12"/>
        <color theme="6" tint="-0.249977111117893"/>
        <rFont val="Calibri"/>
        <family val="2"/>
        <scheme val="minor"/>
      </rPr>
      <t>[m]
(12,3)</t>
    </r>
  </si>
  <si>
    <r>
      <t xml:space="preserve">FINITURA:
VELOCITA'
</t>
    </r>
    <r>
      <rPr>
        <sz val="12"/>
        <color theme="6" tint="-0.249977111117893"/>
        <rFont val="Calibri"/>
        <family val="2"/>
        <scheme val="minor"/>
      </rPr>
      <t>[km/h]</t>
    </r>
  </si>
  <si>
    <r>
      <t xml:space="preserve">RIGHE DESCRITTIVE </t>
    </r>
    <r>
      <rPr>
        <b/>
        <sz val="12"/>
        <color rgb="FFFF0000"/>
        <rFont val="Calibri"/>
        <family val="2"/>
        <scheme val="minor"/>
      </rPr>
      <t>A</t>
    </r>
  </si>
  <si>
    <r>
      <t xml:space="preserve">RIGHE DESCRITTIVE </t>
    </r>
    <r>
      <rPr>
        <b/>
        <sz val="12"/>
        <color rgb="FFFF0000"/>
        <rFont val="Calibri"/>
        <family val="2"/>
        <scheme val="minor"/>
      </rPr>
      <t>B</t>
    </r>
  </si>
  <si>
    <t>Veicolo 2</t>
  </si>
  <si>
    <t>Veicolo 3</t>
  </si>
  <si>
    <t>Veicolo 4</t>
  </si>
  <si>
    <t>INPUT</t>
  </si>
  <si>
    <t xml:space="preserve">INSERIMENTO N. : </t>
  </si>
  <si>
    <t xml:space="preserve">N.  : </t>
  </si>
  <si>
    <t xml:space="preserve">NOME INSERIMENTO  : </t>
  </si>
  <si>
    <t>ANTEPRIMA OMMO</t>
  </si>
  <si>
    <t>OMMO      ***  ARCHIVIO OMOLOGAZIONI MACCHINE OPERATRICI  ***</t>
  </si>
  <si>
    <t>TIPO-OPER</t>
  </si>
  <si>
    <t>CODICE OMOLOG.</t>
  </si>
  <si>
    <t>DATA</t>
  </si>
  <si>
    <t>NUMERO OMO EU e</t>
  </si>
  <si>
    <t>DATA OMO EU</t>
  </si>
  <si>
    <t>DATA-SCAD</t>
  </si>
  <si>
    <t>CATEG</t>
  </si>
  <si>
    <t>PRESCR-CIRC</t>
  </si>
  <si>
    <t>FABBR-TIPO</t>
  </si>
  <si>
    <t>NAZ-FABBR</t>
  </si>
  <si>
    <t>COMB</t>
  </si>
  <si>
    <t>TMP</t>
  </si>
  <si>
    <t>NUM-CIL</t>
  </si>
  <si>
    <t>CILIND</t>
  </si>
  <si>
    <t>POT-MAX [KW]</t>
  </si>
  <si>
    <t>SIL-APP</t>
  </si>
  <si>
    <t>DB</t>
  </si>
  <si>
    <t>GR</t>
  </si>
  <si>
    <t>LUNG</t>
  </si>
  <si>
    <t>LARG</t>
  </si>
  <si>
    <t>SBLZ-ANT</t>
  </si>
  <si>
    <t>SBLZ-POST</t>
  </si>
  <si>
    <t>ALTZ</t>
  </si>
  <si>
    <t>SAG-FER</t>
  </si>
  <si>
    <t>INT-ASSE 1</t>
  </si>
  <si>
    <t>INT-ASSE 2</t>
  </si>
  <si>
    <t>INT-ASSE 3</t>
  </si>
  <si>
    <t>N-ASSI</t>
  </si>
  <si>
    <t>TARA</t>
  </si>
  <si>
    <t>MAS-COMPL</t>
  </si>
  <si>
    <t>MAS-RIM</t>
  </si>
  <si>
    <t>MAS-MAX/ASSE</t>
  </si>
  <si>
    <t>ASSE</t>
  </si>
  <si>
    <t>PNEU</t>
  </si>
  <si>
    <t>FRENI SERV</t>
  </si>
  <si>
    <t>FRENI SOC</t>
  </si>
  <si>
    <t>AUTONOMIA LAVORO</t>
  </si>
  <si>
    <t>VEL-MAX-TEOR KM/H</t>
  </si>
  <si>
    <t>VEL-MAX-EFFETTIVA KM/H</t>
  </si>
  <si>
    <t>VEICOLI TRAINANTI</t>
  </si>
  <si>
    <t>RIGA-DESCR</t>
  </si>
  <si>
    <t>COD-IMPIEGHI</t>
  </si>
  <si>
    <t>COD-ATTREZZ</t>
  </si>
  <si>
    <t>DIMENSIONI MAX CON ATTREZZI</t>
  </si>
  <si>
    <t xml:space="preserve">    =</t>
  </si>
  <si>
    <t>DIRETTIVE CEE</t>
  </si>
  <si>
    <t>("RD" O "RI")</t>
  </si>
  <si>
    <t>CIMO                           ***         CARATTERISTICHE D'IMPIEGO        ***</t>
  </si>
  <si>
    <t xml:space="preserve">SCAVO (METRI) = </t>
  </si>
  <si>
    <t xml:space="preserve">LARG MIN </t>
  </si>
  <si>
    <t xml:space="preserve">LARG MAX </t>
  </si>
  <si>
    <t xml:space="preserve">PROF MAX </t>
  </si>
  <si>
    <t>CARICAMENTO   =</t>
  </si>
  <si>
    <t>CAPAC    (MC)</t>
  </si>
  <si>
    <t xml:space="preserve">ALT MAX </t>
  </si>
  <si>
    <t>PERFORAZIONE  =</t>
  </si>
  <si>
    <t>PROF     (M)</t>
  </si>
  <si>
    <t xml:space="preserve">VEL MIN   (MH) </t>
  </si>
  <si>
    <t xml:space="preserve">VEL MIN (MH) </t>
  </si>
  <si>
    <t>DIAM MIN (M)</t>
  </si>
  <si>
    <t xml:space="preserve">DIAM MAX  (M) </t>
  </si>
  <si>
    <t xml:space="preserve">LIVELLAMENTO  = </t>
  </si>
  <si>
    <t>LARG MAX (M)</t>
  </si>
  <si>
    <t>VELOC     (KH)</t>
  </si>
  <si>
    <t xml:space="preserve">TRASPORTO     = </t>
  </si>
  <si>
    <t>VOL CAR  (MC)</t>
  </si>
  <si>
    <t>PORTATA   (KG)</t>
  </si>
  <si>
    <t xml:space="preserve">COMPATTAMENTO = </t>
  </si>
  <si>
    <t xml:space="preserve">SOLLEVAMENTO  = </t>
  </si>
  <si>
    <t>MAS MAX C/Z</t>
  </si>
  <si>
    <t xml:space="preserve">MAS MAX S/Z </t>
  </si>
  <si>
    <t>MAS STAND</t>
  </si>
  <si>
    <t xml:space="preserve">(MASSE IN KG)  </t>
  </si>
  <si>
    <t>ALT MAX  (M)</t>
  </si>
  <si>
    <t>SBRAC MAX (M)</t>
  </si>
  <si>
    <t>MAS/SBR/MAX</t>
  </si>
  <si>
    <t xml:space="preserve">MANUTENZIONE  = </t>
  </si>
  <si>
    <t>FINITURA      =</t>
  </si>
  <si>
    <t>RIGHE DESCRITTIVE A</t>
  </si>
  <si>
    <t>RIGHE DESCRITTIVE B</t>
  </si>
  <si>
    <t>ANTEPRIMA CARTA DI CIRCOLAZIONE (asteriscate esplicitate)</t>
  </si>
  <si>
    <t>ELENCHI</t>
  </si>
  <si>
    <t>INDICE</t>
  </si>
  <si>
    <t xml:space="preserve">   &lt;-- RITORNA ALL'INDICE     </t>
  </si>
  <si>
    <t>TIPO OPERAZIONE</t>
  </si>
  <si>
    <t>ALLEGATO A: CATEGORIE MACCHINE AGRICOLE (OPERATRICI E RIMORCHI) e MACCHINE OPERATRICI</t>
  </si>
  <si>
    <t>ALLEGATO B: PRESCRIZIONI TECNICHE DI CIRCOLAZIONE</t>
  </si>
  <si>
    <t>ALLEGATO C: COMBUSTIBILE</t>
  </si>
  <si>
    <t>ALLEGATO D: FRENI</t>
  </si>
  <si>
    <t>ALLEGATO E: IMPIEGHI</t>
  </si>
  <si>
    <t>ALLEGATO F: ATTREZZATURE</t>
  </si>
  <si>
    <t>TIPOLOGIA VEICOLO TRAINANTE</t>
  </si>
  <si>
    <t>NAZIONALITA'</t>
  </si>
  <si>
    <t>TEMPI</t>
  </si>
  <si>
    <t>TIPI OMOLOGAZIONE</t>
  </si>
  <si>
    <t>SAGOMA FERROVIARA</t>
  </si>
  <si>
    <t>PNEU 1 (cingolati)</t>
  </si>
  <si>
    <t>DIRETTIVE CEE ANTINQUINAMENTO</t>
  </si>
  <si>
    <t>ASTERISCATE</t>
  </si>
  <si>
    <t>tipo operaz.</t>
  </si>
  <si>
    <t>Descrizione</t>
  </si>
  <si>
    <t>Codice + Descrizione</t>
  </si>
  <si>
    <t>Codice</t>
  </si>
  <si>
    <t>S/T/R</t>
  </si>
  <si>
    <t>L/E</t>
  </si>
  <si>
    <t>Descrizione categoria</t>
  </si>
  <si>
    <t>Righe occupate</t>
  </si>
  <si>
    <t>Codice combustibile</t>
  </si>
  <si>
    <t>Descrizione combustibile</t>
  </si>
  <si>
    <t>Codice freno</t>
  </si>
  <si>
    <t>Descrizione freno</t>
  </si>
  <si>
    <t>Codice impiego</t>
  </si>
  <si>
    <t>Descrizione impiego</t>
  </si>
  <si>
    <t>Codice attrezzatura</t>
  </si>
  <si>
    <t>Descrizione attrezzatura</t>
  </si>
  <si>
    <t>Rilevante per Protezione Civile</t>
  </si>
  <si>
    <t>Codice nazionalità</t>
  </si>
  <si>
    <t>motore TEMPI</t>
  </si>
  <si>
    <t>Tipo di omologazione</t>
  </si>
  <si>
    <t>Codice asteriscata</t>
  </si>
  <si>
    <t>Formato</t>
  </si>
  <si>
    <t>Formato convertito per ricerca separatori</t>
  </si>
  <si>
    <t>Lunghezza campo 1</t>
  </si>
  <si>
    <t>Lunghezza campo 2</t>
  </si>
  <si>
    <t>Lunghezza campo 3</t>
  </si>
  <si>
    <t>Lunghezza campo 4</t>
  </si>
  <si>
    <t>Lunghezza campo 5</t>
  </si>
  <si>
    <t>N. decimale campo 1</t>
  </si>
  <si>
    <t>N. decimale campo 2</t>
  </si>
  <si>
    <t>N. decimale campo 3</t>
  </si>
  <si>
    <t>N. decimale campo 4</t>
  </si>
  <si>
    <t>N. decimale campo 5</t>
  </si>
  <si>
    <t>Blocco 1</t>
  </si>
  <si>
    <t>Blocco 2</t>
  </si>
  <si>
    <t>Blocco 3</t>
  </si>
  <si>
    <t>Blocco 4</t>
  </si>
  <si>
    <t>Blocco 5</t>
  </si>
  <si>
    <t>Blocco 6</t>
  </si>
  <si>
    <t>Descrizione (senza virgole)</t>
  </si>
  <si>
    <t>II</t>
  </si>
  <si>
    <t xml:space="preserve">   MACCHINE AGRICOLE (OPERATRICI E RIMORCHI):</t>
  </si>
  <si>
    <t xml:space="preserve"> </t>
  </si>
  <si>
    <t>I</t>
  </si>
  <si>
    <t>IDRAULICO</t>
  </si>
  <si>
    <t xml:space="preserve">  </t>
  </si>
  <si>
    <t>EU</t>
  </si>
  <si>
    <t>ESEMPLARE UNICO</t>
  </si>
  <si>
    <t>VR</t>
  </si>
  <si>
    <t>VARIAZIONE</t>
  </si>
  <si>
    <t>EA</t>
  </si>
  <si>
    <t>T</t>
  </si>
  <si>
    <t>E</t>
  </si>
  <si>
    <t xml:space="preserve">Macchina agricola operatrice trainata  eccezionale atomizzatore </t>
  </si>
  <si>
    <t>A</t>
  </si>
  <si>
    <t xml:space="preserve">PUO' CIRCOLARE SOLO A VUOTO. </t>
  </si>
  <si>
    <t xml:space="preserve">G  </t>
  </si>
  <si>
    <t xml:space="preserve"> Gasolio</t>
  </si>
  <si>
    <t>P</t>
  </si>
  <si>
    <t>PNEUMATICO</t>
  </si>
  <si>
    <t>C</t>
  </si>
  <si>
    <t xml:space="preserve">COMPATTAMENTO </t>
  </si>
  <si>
    <t>CB</t>
  </si>
  <si>
    <t>RULLO COMPRESSORE</t>
  </si>
  <si>
    <t>MO</t>
  </si>
  <si>
    <t>Macchina Operatrice</t>
  </si>
  <si>
    <t>Italia</t>
  </si>
  <si>
    <t>OA</t>
  </si>
  <si>
    <t>OMOLOGAZIONE EUROPEA (PER I VEICOLI APPARTENENTI ALLA CATEGORIA M1 -CICLOMOTORI / MOTO)</t>
  </si>
  <si>
    <t>Sagoma 1</t>
  </si>
  <si>
    <t>S</t>
  </si>
  <si>
    <t>Semplici</t>
  </si>
  <si>
    <t xml:space="preserve">WL </t>
  </si>
  <si>
    <t>CONFORME ALLA DIRETTIVA 96/68/CE-FASE I</t>
  </si>
  <si>
    <t>*ART10</t>
  </si>
  <si>
    <t>*ART10=$$$*</t>
  </si>
  <si>
    <t>VEICOLO E C C E Z I O N A L E PUO` CIRCOLARE SOLO CON L`AUTORIZZAZIONE DI CUI ALL`ART. 10 DEL T. U.</t>
  </si>
  <si>
    <t>VV</t>
  </si>
  <si>
    <t>VISUALIZZAZIONE</t>
  </si>
  <si>
    <t>EB</t>
  </si>
  <si>
    <t xml:space="preserve">Macchina agricola operatrice trainata  eccezionale raccoglibietole </t>
  </si>
  <si>
    <t>B</t>
  </si>
  <si>
    <t xml:space="preserve">PUO' CIRCOLARE SENZA ATTREZZI DA LAVORO. </t>
  </si>
  <si>
    <t xml:space="preserve">M  </t>
  </si>
  <si>
    <t xml:space="preserve"> Metano</t>
  </si>
  <si>
    <t>M</t>
  </si>
  <si>
    <t>MECCANICO</t>
  </si>
  <si>
    <t>F</t>
  </si>
  <si>
    <t xml:space="preserve">FINITURA MANTI STRADALI </t>
  </si>
  <si>
    <t>CC</t>
  </si>
  <si>
    <t>RULLO COMPRESSORE A RUOTE METALLICHE (CHOPPER)</t>
  </si>
  <si>
    <t>VI</t>
  </si>
  <si>
    <t>Veicolo Industriale</t>
  </si>
  <si>
    <t>Estero</t>
  </si>
  <si>
    <t>OE</t>
  </si>
  <si>
    <t>OMOLOGAZIONE EUROPEA</t>
  </si>
  <si>
    <t>Sagoma 2</t>
  </si>
  <si>
    <t>D</t>
  </si>
  <si>
    <t>Doppi</t>
  </si>
  <si>
    <t xml:space="preserve">WM </t>
  </si>
  <si>
    <t>CONFORME ALLA DIRETTIVA 96/68/CE-FASE II</t>
  </si>
  <si>
    <t>*CONSM</t>
  </si>
  <si>
    <t>*CONSM=####=####=####*</t>
  </si>
  <si>
    <t>CONSUMO IN LITRI/100 KM PERCORSO URBANO ####; EXTRAURBANO ####; COMBINATO ####.</t>
  </si>
  <si>
    <t>CONSUMO IN LITRI/100 KM PERCORSO URBANO ##,##; EXTRAURBANO ##,##; COMBINATO ##,##.</t>
  </si>
  <si>
    <t>AA</t>
  </si>
  <si>
    <t>ANNULLAMENTO</t>
  </si>
  <si>
    <t>EC</t>
  </si>
  <si>
    <t xml:space="preserve">Macchina agricola operatrice trainata  eccezionale coltivatore rimorchiato </t>
  </si>
  <si>
    <t xml:space="preserve">DEVE CIRCOLARE SENZA ATTREZZI DA LAVORO. </t>
  </si>
  <si>
    <t xml:space="preserve">B  </t>
  </si>
  <si>
    <t xml:space="preserve"> Benzina</t>
  </si>
  <si>
    <t>IDRAUL.SERVOFRENO</t>
  </si>
  <si>
    <t>G</t>
  </si>
  <si>
    <t xml:space="preserve">SOLLEVAMENTO </t>
  </si>
  <si>
    <t>CD</t>
  </si>
  <si>
    <t>RULLO COMPRESSORE A RUOTE GOMMATE</t>
  </si>
  <si>
    <t>OK</t>
  </si>
  <si>
    <t>OMOLOGAZIONE VECCHI MODELLI</t>
  </si>
  <si>
    <t>Sagoma 3</t>
  </si>
  <si>
    <t>Cingolati</t>
  </si>
  <si>
    <t>*CONSU</t>
  </si>
  <si>
    <t>*CONSU=####=####=####*</t>
  </si>
  <si>
    <t>CONSUMO IN LITRI / 100 KM PERCORSO URBANO #### A 90 KM/H ####; A 120 KM/H ####.</t>
  </si>
  <si>
    <t>CONSUMO IN LITRI / 100 KM PERCORSO URBANO ##,## A 90 KM/H ##,##; A 120 KM/H ##,##.</t>
  </si>
  <si>
    <t>EF</t>
  </si>
  <si>
    <t xml:space="preserve">Macchina agricola operatrice trainata  eccezionale falciatrice </t>
  </si>
  <si>
    <t xml:space="preserve">PUO' CIRCOLARE SOLO A VUOTO O NEI LIMITI ART. 33 T.U. </t>
  </si>
  <si>
    <t>GPL</t>
  </si>
  <si>
    <t xml:space="preserve"> Gas di petrolio liquefatto</t>
  </si>
  <si>
    <t>IDRAUL.SFRENO.DEPR</t>
  </si>
  <si>
    <t>K</t>
  </si>
  <si>
    <t xml:space="preserve">CARICAMENTO SCAVO </t>
  </si>
  <si>
    <t>CF</t>
  </si>
  <si>
    <t xml:space="preserve">RULLO COMPRESSORE CON ATTREZZATURA A PIEDI DI PECORA </t>
  </si>
  <si>
    <t>OL</t>
  </si>
  <si>
    <t>OMOLOGAZIONE LOCALE</t>
  </si>
  <si>
    <t>*MASSA</t>
  </si>
  <si>
    <t>*MASSA=####*</t>
  </si>
  <si>
    <t>MASSA A VUOTO = KG ####</t>
  </si>
  <si>
    <t>EL</t>
  </si>
  <si>
    <t xml:space="preserve">Macchina agricola operatrice trainata  eccezionale falciacaricatrice </t>
  </si>
  <si>
    <t xml:space="preserve">I COMANDI DEL SISTEMA LAVORO DEVONO ESSERE BLOCCATI. </t>
  </si>
  <si>
    <t>MSC</t>
  </si>
  <si>
    <t xml:space="preserve"> Miscela</t>
  </si>
  <si>
    <t>R</t>
  </si>
  <si>
    <t>IDROPNEUMATICO</t>
  </si>
  <si>
    <t>L</t>
  </si>
  <si>
    <t xml:space="preserve">LIVELLAMENTO </t>
  </si>
  <si>
    <t>CG</t>
  </si>
  <si>
    <t>RULLO COMPRESSORE A VIBRAZIONE</t>
  </si>
  <si>
    <t>OM</t>
  </si>
  <si>
    <t>OMOLOGAZIONE NAZIONALE</t>
  </si>
  <si>
    <t>*PASSO</t>
  </si>
  <si>
    <t>*PASSO=####*</t>
  </si>
  <si>
    <t>DISTANZA TRA IL CENTRO DELL'OCCHIONE E L'ASSE #### MM</t>
  </si>
  <si>
    <t>EN</t>
  </si>
  <si>
    <t xml:space="preserve">Macch. Agr. Operatrice trainata eccezionale  falcia-condiziona-andanatrice </t>
  </si>
  <si>
    <t xml:space="preserve">ATTREZZI E BRACCI BLOCCATI. </t>
  </si>
  <si>
    <t>ELE</t>
  </si>
  <si>
    <t xml:space="preserve"> Elettrico</t>
  </si>
  <si>
    <t>IDRAUL.SFRENO.PRES</t>
  </si>
  <si>
    <t xml:space="preserve">MANUTENZIONE STRADE </t>
  </si>
  <si>
    <t>CH</t>
  </si>
  <si>
    <t>COMPRESSORE A PIASTRA</t>
  </si>
  <si>
    <t>RT</t>
  </si>
  <si>
    <t>RICONOSCIMENTO TECNICO</t>
  </si>
  <si>
    <t>*PMA2A</t>
  </si>
  <si>
    <t>*PMA2A=#####=#####*</t>
  </si>
  <si>
    <t>MASSE MAX AMMESSE-ASSE ANT.KG.##### ASSE POST.KG.#####</t>
  </si>
  <si>
    <t>EP</t>
  </si>
  <si>
    <t xml:space="preserve">Macch. Agr. Operatrice trainata  eccezionale raccogli-pressa-imballatrice </t>
  </si>
  <si>
    <t>H</t>
  </si>
  <si>
    <t xml:space="preserve">TAGLIENTE E DENTI PROTETTI E SEGNALATI </t>
  </si>
  <si>
    <t>IDRAUL.SERB.PRESS.</t>
  </si>
  <si>
    <t xml:space="preserve">PERFORAZIONE </t>
  </si>
  <si>
    <t>FA</t>
  </si>
  <si>
    <t>ASFALTATRICE</t>
  </si>
  <si>
    <t>SE</t>
  </si>
  <si>
    <t>VERBALE  APPROVAZIONE TECNICO SEMIRIMORCHIO</t>
  </si>
  <si>
    <t>*PMA3A</t>
  </si>
  <si>
    <t>*PMA3A=#####=#####=#####*</t>
  </si>
  <si>
    <t>MASSE MAX AMMESSE-ASSE 1-KG. ##### ASSE 2-KG. ##### ASSE 3-KG. #####</t>
  </si>
  <si>
    <t>ER</t>
  </si>
  <si>
    <t xml:space="preserve">Macchina agricola operatrice trainata  eccezionale ranghinatore </t>
  </si>
  <si>
    <t xml:space="preserve">INGOMBRI DEGLI ATTREZZI SEGNALATI SUI TRE LATI CON   STRISCE BIANCHE E ROSSE RETRORIFLETTENTI </t>
  </si>
  <si>
    <t>MECC.COMANDO PNEUM</t>
  </si>
  <si>
    <t xml:space="preserve">SCAVO-TRASPORTO </t>
  </si>
  <si>
    <t>FB</t>
  </si>
  <si>
    <t>BITUMITRICE</t>
  </si>
  <si>
    <t>SK</t>
  </si>
  <si>
    <t>OMOLOGAZIONE VECCHI MODELLI SEMIRIMORCHIO</t>
  </si>
  <si>
    <t>*PMA4A</t>
  </si>
  <si>
    <t>*PMA4A=#####=#####=#####=#####*</t>
  </si>
  <si>
    <t>MASSE MAX AMMESSE-ASSE 1-KG.##### ; ASSE 2-KG. ##### ASSE 3-KG. ##### ; ASSE 4-KG. #####</t>
  </si>
  <si>
    <t>ES</t>
  </si>
  <si>
    <t xml:space="preserve">Macchina agricola operatrice trainata  eccezionale seminatrice </t>
  </si>
  <si>
    <t>J</t>
  </si>
  <si>
    <t xml:space="preserve">STERZATURA AMMESSA SU UN SOLO ASSE </t>
  </si>
  <si>
    <t>IDROSTATICO</t>
  </si>
  <si>
    <t xml:space="preserve">SCAVO </t>
  </si>
  <si>
    <t>FC</t>
  </si>
  <si>
    <t>SPANDITRICE</t>
  </si>
  <si>
    <t>SL</t>
  </si>
  <si>
    <t>OMOLOGAZIONE LOCALE SEMIRIMORCHIO</t>
  </si>
  <si>
    <t>*RIMO1</t>
  </si>
  <si>
    <t>*RIMO1=####=#######################*</t>
  </si>
  <si>
    <t>ET</t>
  </si>
  <si>
    <t xml:space="preserve">Macch. Agr. Operatrice trainata  eccezionale falcia-trincia-caricatrice </t>
  </si>
  <si>
    <t xml:space="preserve">PROIETTORI INCLINATI IN MODO CHE LA LUCE INCONTRI IL TERRENO DAVANTI ALLA MACCHINA NON OLTRE 10 METRI. </t>
  </si>
  <si>
    <t>N</t>
  </si>
  <si>
    <t>SPROVVISTA DI DISPOSITIVI DI FRENATURA DI SERVIZIO</t>
  </si>
  <si>
    <t>TRASPORTO</t>
  </si>
  <si>
    <t>FD</t>
  </si>
  <si>
    <t>SPANDILIVELLATRICE GRANIGLIE-CONGLOMERATI</t>
  </si>
  <si>
    <t>SM</t>
  </si>
  <si>
    <t>OMOLOGAZIONE NAZIONALE SEMIRIMORCHIO</t>
  </si>
  <si>
    <t>*RIMO2</t>
  </si>
  <si>
    <t>*RIMO2=####=#######################*</t>
  </si>
  <si>
    <t>EV</t>
  </si>
  <si>
    <t xml:space="preserve">Macch. Agr. Oper. Trainata eccedente i  limiti art. 61 e/o 104 </t>
  </si>
  <si>
    <t xml:space="preserve">PROIETTORI DA LAVORO OCCULTATI CON IDONEE MASCHERE. </t>
  </si>
  <si>
    <t>V</t>
  </si>
  <si>
    <t xml:space="preserve">SOLLEVAMENTO-TRASPORTO </t>
  </si>
  <si>
    <t>FE</t>
  </si>
  <si>
    <t>VIBRATRICE</t>
  </si>
  <si>
    <t>ST</t>
  </si>
  <si>
    <t>RICONOSCIMENTO TECNICO SEMIRIMORCHIO</t>
  </si>
  <si>
    <t>*SOLL2</t>
  </si>
  <si>
    <t>*SOLL2*</t>
  </si>
  <si>
    <t>AUTOVEICOLO MUNITO DI DISPOSITIVO PER SOLLEVAMENTO DEL SECONDO ASSE. L`USO DEL DISPOSITIVO E`AMMESSO SOLO PER L`AVVIAMENTO DEL VEICOLO NELLA MARCIA FUORI STRADA.</t>
  </si>
  <si>
    <t>EW</t>
  </si>
  <si>
    <t xml:space="preserve">Macch. Agr. Oper. Semovente a 1 asse  eccedente i limiti art. 61 e/o 104 </t>
  </si>
  <si>
    <t xml:space="preserve">ECCEZIONALE </t>
  </si>
  <si>
    <t>X</t>
  </si>
  <si>
    <t xml:space="preserve">SCAVO-TRASPORTO-CARICAMENTO </t>
  </si>
  <si>
    <t>FG</t>
  </si>
  <si>
    <t>BETONIERA</t>
  </si>
  <si>
    <t>SU</t>
  </si>
  <si>
    <t>ESEMPLARE UNICO SEMIRIMORCHIO</t>
  </si>
  <si>
    <t>*SOLL3</t>
  </si>
  <si>
    <t>*SOLL3*</t>
  </si>
  <si>
    <t>AUTOVEICOLO MUNITO DI DISPOSITIVO PER SOLLEVAMENTO DEL TERZO ASSE. L`USO DEL DISPOSITIVO E`AMMESSO SOLO PER L`AVVIAMENTO DEL VEICOLO NELLA MARCIA FUORI STRADA.</t>
  </si>
  <si>
    <t>EZ</t>
  </si>
  <si>
    <t xml:space="preserve">Macchina agricola operatrice trainata  eccezionale zappatrice </t>
  </si>
  <si>
    <t>O</t>
  </si>
  <si>
    <t xml:space="preserve">INGOMBRI DEGLI ATTREZZI CHE ECCEDONO LA PROIEZIONE INPIANTA DELLE RUOTE DEL VEICOLO DI OLTRE IL 75% DEL   PASSO, SEGNALATI, SIA LUNGO L'ASSE LONG. CHE TRASV., CON VERNICI, MATERIALI AUTOADESIVI O CON APPOSITI    PANNELLI FISSABILI ALL'INGOMBRO, TUTTI RIFLETTENTI, ASTRISCE LARGHE 10 CM. E INCLINATE A 35 GRADI, ALTERNATE DI COLORE BIANCO E ROSSO. </t>
  </si>
  <si>
    <t>Z</t>
  </si>
  <si>
    <t xml:space="preserve">CARICAMENTO </t>
  </si>
  <si>
    <t>FH</t>
  </si>
  <si>
    <t>BETONIERA AUTOCARICANTE</t>
  </si>
  <si>
    <t>VE</t>
  </si>
  <si>
    <t>VERBALE  APPROVAZIONE TECNICO</t>
  </si>
  <si>
    <t>*SOSPE=1</t>
  </si>
  <si>
    <t>*SOSPE=1*</t>
  </si>
  <si>
    <t>SOSP.ASSE/I MOTORE/I-PNEUMATICA</t>
  </si>
  <si>
    <t>XA</t>
  </si>
  <si>
    <t xml:space="preserve">Macchina agricola operatrice trainata  atomizzatore </t>
  </si>
  <si>
    <t xml:space="preserve">PEDALE FRENO DI LAVORO,POSTO A SINISTRA,MUNITO DI    BLOCCO MECCANICO CHE IMPEDISCE IL FUNZIONAMENTO. </t>
  </si>
  <si>
    <t>FI</t>
  </si>
  <si>
    <t>IMPASTATRICE</t>
  </si>
  <si>
    <t>OX</t>
  </si>
  <si>
    <t>OMOLOGAZIONE COMUNITARIA TRATTORI AGRICOLI E FORESTALI A RUOTE</t>
  </si>
  <si>
    <t>*SOSPE=2</t>
  </si>
  <si>
    <t>*SOSPE=2*</t>
  </si>
  <si>
    <t>SOSP.ASSE/I MOTORE/I-EQUI.(ART62CDS)</t>
  </si>
  <si>
    <t>XB</t>
  </si>
  <si>
    <t xml:space="preserve">Macchina agricola operatrice trainata  raccoglibietole </t>
  </si>
  <si>
    <t>Q</t>
  </si>
  <si>
    <t xml:space="preserve">OBBLIGO DI EQUIPAGGIAMENTO CON SPECCHIO ANTEVISORE </t>
  </si>
  <si>
    <t>FL</t>
  </si>
  <si>
    <t>VAGLIATRICE</t>
  </si>
  <si>
    <t>SS</t>
  </si>
  <si>
    <t>OMOLOGAZIONE EUROPEA SEMIRIMORCHIO</t>
  </si>
  <si>
    <t>*SOSPE=3</t>
  </si>
  <si>
    <t>*SOSPE=3*</t>
  </si>
  <si>
    <t>SOSP.ASSE/I MOTORE/I-MECCANICA</t>
  </si>
  <si>
    <t>XC</t>
  </si>
  <si>
    <t xml:space="preserve">Macchina agricola operatrice trainata  coltivatore rimorchiato </t>
  </si>
  <si>
    <t xml:space="preserve">CIRCOLAZIONE AMMESSA CON SCORTA DI PERSONALE DELL'IM-PRESA </t>
  </si>
  <si>
    <t>FM</t>
  </si>
  <si>
    <t>MISCELATRICE</t>
  </si>
  <si>
    <t>SX</t>
  </si>
  <si>
    <t>OMOLOGAZIONE COMUNITARIA SEMIRIMORCHIO</t>
  </si>
  <si>
    <t>*SOSPE=4</t>
  </si>
  <si>
    <t>*SOSPE=4*</t>
  </si>
  <si>
    <t>SOSP.ASSE/I MOTORE/I IDRAULICA</t>
  </si>
  <si>
    <t>XF</t>
  </si>
  <si>
    <t xml:space="preserve">Macchina agricola operatrice trainata  falciatrice </t>
  </si>
  <si>
    <t xml:space="preserve">OBBLIGO DISPOSIT. SUPPLEM. A LUCE LAMPEGG. APPROVATO ANCHE QUANDO NON E' OBBLIGAT. USO DISPOS. ILLUMINAZ. </t>
  </si>
  <si>
    <t>FN</t>
  </si>
  <si>
    <t>VERRICELLO</t>
  </si>
  <si>
    <t>OB</t>
  </si>
  <si>
    <t>OMOLOGAZIONE COMUNITARIA PER CATEG. N1 (AUTOVEICOLI TRASPORTO COSE COMPLETI E INCOMPLETI)</t>
  </si>
  <si>
    <t>*SOSPE=5</t>
  </si>
  <si>
    <t>*SOSPE=5*</t>
  </si>
  <si>
    <t>SOSP.ASSE/I MOTORE/I - PNEUMATICHE O EQUIVALENTI</t>
  </si>
  <si>
    <t>XJ</t>
  </si>
  <si>
    <t xml:space="preserve">Rimorchio agricolo-cassone ribalta </t>
  </si>
  <si>
    <t xml:space="preserve">LA MASSIMA SPORGENZA RISPETTO ALLA SAGOMA DEL VEICOLOTRATTORE NON DEVE  SUPERARE 25 CM. PER PARTE </t>
  </si>
  <si>
    <t>FR</t>
  </si>
  <si>
    <t xml:space="preserve">VIBROFINITRICE </t>
  </si>
  <si>
    <t>OC</t>
  </si>
  <si>
    <t>OMOLOGAZIONE COMUNITARIA PER CATEG. N2/N3 (AUTOVEICOLI TRASPORTO COSE COMPLETI E INCOMPLETI)</t>
  </si>
  <si>
    <t>*SOVE2</t>
  </si>
  <si>
    <t>*SOVE2=###*</t>
  </si>
  <si>
    <t>AUTOVEICOLO MUNITO DI DISPOSITIVO PER SOLLEVAMENTO DEL SECONDO ASSE. L`USO DEL DISPOSITIVO E`AMMESSO SOLO PER L`AVVIAMENTO DEL VEICOLO NELLA MARCIA FUORI STRADA.A VEL.KM/H ###</t>
  </si>
  <si>
    <t>AUTOVEICOLO MUNITO DI DISPOSITIVO PER SOLLEVAMENTO DEL SECONDO ASSE. L`USO DEL DISPOSITIVO E`AMMESSO SOLO PER L`AVVIAMENTO DEL VEICOLO NELLA MARCIA FUORI STRADA.A VEL.KM/H ##,#</t>
  </si>
  <si>
    <t>XL</t>
  </si>
  <si>
    <t xml:space="preserve">Macchina agricola operatrice trainata  falciacaricatrice </t>
  </si>
  <si>
    <t>U</t>
  </si>
  <si>
    <t>FS</t>
  </si>
  <si>
    <t>SCARIFICATORE</t>
  </si>
  <si>
    <t>OD</t>
  </si>
  <si>
    <t>OMOLOGAZIONE COMUNITARIA PER CATEG. M2/M3 (AUTOBUS)</t>
  </si>
  <si>
    <t>*SOVE3</t>
  </si>
  <si>
    <t>*SOVE3=###*</t>
  </si>
  <si>
    <t>AUTOVEICOLO MUNITO DI DISPOSITIVO PER SOLLEVAMENTO DEL TERZO ASSE. L`USO DEL DISPOSITIVO E`AMMESSO SOLO PER L`AVVIAMENTO DEL VEICOLO NELLA MARCIA FUORI STRADA.A VEL.KM/H ###</t>
  </si>
  <si>
    <t>AUTOVEICOLO MUNITO DI DISPOSITIVO PER SOLLEVAMENTO DEL TERZO ASSE. L`USO DEL DISPOSITIVO E`AMMESSO SOLO PER L`AVVIAMENTO DEL VEICOLO NELLA MARCIA FUORI STRADA.A VEL.KM/H ##,#</t>
  </si>
  <si>
    <t>XN</t>
  </si>
  <si>
    <t xml:space="preserve">Macchina agricola operatrice trainata  falcia-condiziona-andanatrice </t>
  </si>
  <si>
    <t xml:space="preserve">CIRCOLAZIONE AMMESSA CON SCORTA DI PERSONALE DELL'IM-PRESA E CON PROIETTORI ANABBAGLIANTI IN FUNZIONE </t>
  </si>
  <si>
    <t>FT</t>
  </si>
  <si>
    <t>SCARIFICATORE POSTERIORE</t>
  </si>
  <si>
    <t>OR</t>
  </si>
  <si>
    <t>OMOLOGAZIONE COMUNITARIA PER CATEG. O (RIMORCHI TRASPORTO COSE COMPLETI E INCOMPLETI)</t>
  </si>
  <si>
    <t>*TRENO</t>
  </si>
  <si>
    <t>*TRENO=#####*</t>
  </si>
  <si>
    <t>MASSA MASSIMA TOTALE DELLE COMBINA- ZIONI VEICOLO+RIMORCHIO = KG #####.</t>
  </si>
  <si>
    <t>XP</t>
  </si>
  <si>
    <t xml:space="preserve">Macchina agricola operatrice trainata  raccogli-pressa-imballatrice </t>
  </si>
  <si>
    <t>W</t>
  </si>
  <si>
    <t xml:space="preserve">LUCE ANABBAGLIANTE IN FUNZIONE ANCHE QUANDO NON E'   OBBLIGATORIO L'USO DEI DISPOSITIVI DI ILLUMINAZIONE. </t>
  </si>
  <si>
    <t>GA</t>
  </si>
  <si>
    <t>GRU</t>
  </si>
  <si>
    <t>SI</t>
  </si>
  <si>
    <t>XR</t>
  </si>
  <si>
    <t xml:space="preserve">Macchina agricola operatrice trainata  ranghinatore </t>
  </si>
  <si>
    <t xml:space="preserve">VELOCITA' MASSIMA DI TRASFERIMENTO 15 KM/H </t>
  </si>
  <si>
    <t>GB</t>
  </si>
  <si>
    <t>GRU PER PORTI</t>
  </si>
  <si>
    <t>XS</t>
  </si>
  <si>
    <t xml:space="preserve">Macchina agricola operatrice trainata  seminatrice </t>
  </si>
  <si>
    <t>Y</t>
  </si>
  <si>
    <t xml:space="preserve">VELOCITA' MASSIMA DI TRASFERIMENTO 25 KM/H </t>
  </si>
  <si>
    <t>GC</t>
  </si>
  <si>
    <t>GRU CON PIATTAFORMA</t>
  </si>
  <si>
    <t>XT</t>
  </si>
  <si>
    <t xml:space="preserve">Macchina agricola operatrice trainata  falcia-trincia-caricatrice </t>
  </si>
  <si>
    <t>** E' VIETATA LA CIRCOLAZIONE SU STRADA **.</t>
  </si>
  <si>
    <t>GD</t>
  </si>
  <si>
    <t>POSATUBI</t>
  </si>
  <si>
    <t>XV</t>
  </si>
  <si>
    <t xml:space="preserve">Macchina agricola operatrice trainata </t>
  </si>
  <si>
    <t>GE</t>
  </si>
  <si>
    <t>GRU CON PIATTAFORMA PORTAPERSONE A TORRE TELESCOPICA</t>
  </si>
  <si>
    <t>XW</t>
  </si>
  <si>
    <t xml:space="preserve">Macch. Agr. Oper. Semovente a 1 asse </t>
  </si>
  <si>
    <t>GG</t>
  </si>
  <si>
    <t>GRU CON PIATTAFORMA PORTAPERSONE A BRACCI ARTICOLATI</t>
  </si>
  <si>
    <t>XX</t>
  </si>
  <si>
    <t xml:space="preserve">Rimorchio agricolo-cassone </t>
  </si>
  <si>
    <t>GS</t>
  </si>
  <si>
    <t xml:space="preserve">SOLLEVATORE CON FORCHE </t>
  </si>
  <si>
    <t>XY</t>
  </si>
  <si>
    <t xml:space="preserve">Rimorchio agricolo-pianale </t>
  </si>
  <si>
    <t>KB</t>
  </si>
  <si>
    <t>CARICATORE A BENNA</t>
  </si>
  <si>
    <t>XZ</t>
  </si>
  <si>
    <t xml:space="preserve">Macchina agricola operatrice trainata  zappatrice </t>
  </si>
  <si>
    <t>KF</t>
  </si>
  <si>
    <t>ESCAVATORE</t>
  </si>
  <si>
    <t xml:space="preserve">   MACCHINE OPERATRICI:</t>
  </si>
  <si>
    <t>KH</t>
  </si>
  <si>
    <t>ESCAVATORE MECCANICO</t>
  </si>
  <si>
    <t>1A</t>
  </si>
  <si>
    <t xml:space="preserve">Macchina operatrice semovente a telaio  articolato (s/capac. Di carico). </t>
  </si>
  <si>
    <t>KI</t>
  </si>
  <si>
    <t>ESCAVATORE A CUCCHIAIO DIRITTO</t>
  </si>
  <si>
    <t>1C</t>
  </si>
  <si>
    <t xml:space="preserve">Carrello semovente (senza capacita' di carico). </t>
  </si>
  <si>
    <t>KL</t>
  </si>
  <si>
    <t>ESCAVATORE A CUCCHIAIO ROVESCIO</t>
  </si>
  <si>
    <t>1E</t>
  </si>
  <si>
    <t xml:space="preserve">M.o. semovente (s/capac. Carico)eccedente i limiti art.32 e/o art.33. </t>
  </si>
  <si>
    <t>KM</t>
  </si>
  <si>
    <t>ESCAVATORE LATERALE FUORI FILO RUOTE</t>
  </si>
  <si>
    <t>1F</t>
  </si>
  <si>
    <t>KN</t>
  </si>
  <si>
    <t>ESCAVATORE A PERCUSSIONE</t>
  </si>
  <si>
    <t>1S</t>
  </si>
  <si>
    <t xml:space="preserve">Macchina operatrice semovente (senza capacita' di carico). </t>
  </si>
  <si>
    <t>KP</t>
  </si>
  <si>
    <t xml:space="preserve">TERNA;APRIPISTA-SOLLEVATORE POSTERIORE </t>
  </si>
  <si>
    <t>1T</t>
  </si>
  <si>
    <t xml:space="preserve">Macchina operatrice trainata (senza capacita' di carico). </t>
  </si>
  <si>
    <t>KT</t>
  </si>
  <si>
    <t>TERNA: CARICATORE-ESCAVATORE POSTERIORE</t>
  </si>
  <si>
    <t>1Z</t>
  </si>
  <si>
    <t xml:space="preserve">M.o. trainata (s/capac. Carico)eccedente i limiti art.32 e/o art.33. </t>
  </si>
  <si>
    <t>KV</t>
  </si>
  <si>
    <t>TERNA: CARICATORE-ESCAVATORE POST. A CUCCHIAIA ROVESCIA</t>
  </si>
  <si>
    <t>2A</t>
  </si>
  <si>
    <t xml:space="preserve">Macchina operatrice semovente a telaio  articolato (c/capac. Di carico). </t>
  </si>
  <si>
    <t>KX</t>
  </si>
  <si>
    <t>TERNA: CARICATORE-APRIPISTA</t>
  </si>
  <si>
    <t>2C</t>
  </si>
  <si>
    <t xml:space="preserve">Carrello semovente (con capacita' di carico). </t>
  </si>
  <si>
    <t>KY</t>
  </si>
  <si>
    <t>TERNA: APRIPISTA-ESCAVATORE POSTERIORE</t>
  </si>
  <si>
    <t>2E</t>
  </si>
  <si>
    <t xml:space="preserve">M.o. semovente (c/capac. Carico)eccedente i limiti art.32 e/o 33 </t>
  </si>
  <si>
    <t>KZ</t>
  </si>
  <si>
    <t>TERNA: APRIPISTA-ESCAVATORE POST. A CUCCHIAIA ROVESCIA</t>
  </si>
  <si>
    <t>2F</t>
  </si>
  <si>
    <t>LA</t>
  </si>
  <si>
    <t>LIVELLATRICE</t>
  </si>
  <si>
    <t>2S</t>
  </si>
  <si>
    <t xml:space="preserve">Macchina operatrice semovente (con capacita' di carico). </t>
  </si>
  <si>
    <t>LB</t>
  </si>
  <si>
    <t>LIVELLATRICE MECCANICA</t>
  </si>
  <si>
    <t>2T</t>
  </si>
  <si>
    <t xml:space="preserve">Macchina operatrice trainata (con capacita' di carico). </t>
  </si>
  <si>
    <t>LC</t>
  </si>
  <si>
    <t>LIVELLATRICE IDRAULICA</t>
  </si>
  <si>
    <t>2Z</t>
  </si>
  <si>
    <t xml:space="preserve">M.o. trainata (c/capac. Carico)eccedente i limiti art.32 e/o 33. </t>
  </si>
  <si>
    <t>MA</t>
  </si>
  <si>
    <t>SPAZZATRICE</t>
  </si>
  <si>
    <t>MB</t>
  </si>
  <si>
    <t>INNAFFIATRICE</t>
  </si>
  <si>
    <t>MC</t>
  </si>
  <si>
    <t>LAVASTRADE</t>
  </si>
  <si>
    <t>MD</t>
  </si>
  <si>
    <t>SPANDI SALE O SABBIA</t>
  </si>
  <si>
    <t>ME</t>
  </si>
  <si>
    <t>SGOMBRANEVE</t>
  </si>
  <si>
    <t>MF</t>
  </si>
  <si>
    <t xml:space="preserve">FALCIATRICE </t>
  </si>
  <si>
    <t>MG</t>
  </si>
  <si>
    <t>SGOMBRANEVE ROTATIVO</t>
  </si>
  <si>
    <t>MH</t>
  </si>
  <si>
    <t>SGOMBRANEVE A SPINTA</t>
  </si>
  <si>
    <t>MI</t>
  </si>
  <si>
    <t xml:space="preserve">FRESATRICE </t>
  </si>
  <si>
    <t>ML</t>
  </si>
  <si>
    <t>POMPA</t>
  </si>
  <si>
    <t>MM</t>
  </si>
  <si>
    <t>POMPA PER FANGHI</t>
  </si>
  <si>
    <t>MN</t>
  </si>
  <si>
    <t>PULISCI SPIAGGIE O PARCHI</t>
  </si>
  <si>
    <t xml:space="preserve">DECESPUGLIATORE </t>
  </si>
  <si>
    <t>MP</t>
  </si>
  <si>
    <t xml:space="preserve">DECESPUGLIATRICE-PULISCIFOSSI LATERALE </t>
  </si>
  <si>
    <t>MR</t>
  </si>
  <si>
    <t xml:space="preserve">SPAZZATRICE ROTATIVA </t>
  </si>
  <si>
    <t>MS</t>
  </si>
  <si>
    <t xml:space="preserve">IDROSPAZZATRICE </t>
  </si>
  <si>
    <t>MT</t>
  </si>
  <si>
    <t xml:space="preserve">SGOMBRANEVE A SPINTA CON SPANDISALE POSTERIORE </t>
  </si>
  <si>
    <t>MU</t>
  </si>
  <si>
    <t xml:space="preserve">TOSAERBA </t>
  </si>
  <si>
    <t>MV</t>
  </si>
  <si>
    <t xml:space="preserve">PACCIAMATRICE </t>
  </si>
  <si>
    <t>MX</t>
  </si>
  <si>
    <t xml:space="preserve">PIANTAPALI </t>
  </si>
  <si>
    <t>MY</t>
  </si>
  <si>
    <t xml:space="preserve">IRRORATRICE </t>
  </si>
  <si>
    <t>MZ</t>
  </si>
  <si>
    <t xml:space="preserve">SALDATRICE </t>
  </si>
  <si>
    <t>PA</t>
  </si>
  <si>
    <t>PERFORATRICE</t>
  </si>
  <si>
    <t>PB</t>
  </si>
  <si>
    <t>PERFORATRICE A ROTAZIONE</t>
  </si>
  <si>
    <t>PC</t>
  </si>
  <si>
    <t>PERFORATRICE A PERCUSSIONE</t>
  </si>
  <si>
    <t>RA</t>
  </si>
  <si>
    <t>RUSPA</t>
  </si>
  <si>
    <t>SA</t>
  </si>
  <si>
    <t>APRIPISTA</t>
  </si>
  <si>
    <t>SB</t>
  </si>
  <si>
    <t>APRIPISTA A LAMA FISSA</t>
  </si>
  <si>
    <t>SC</t>
  </si>
  <si>
    <t>APRIPISTA A LAMA ANGOLABILE</t>
  </si>
  <si>
    <t>SD</t>
  </si>
  <si>
    <t>APRIPISTA CON MOVIMENTO TILT</t>
  </si>
  <si>
    <t>APRIPISTA CON MOVIMENTO PITCH</t>
  </si>
  <si>
    <t>SG</t>
  </si>
  <si>
    <t>APRIPISTA CON ATTREZZO SPIETRATRICE</t>
  </si>
  <si>
    <t>SH</t>
  </si>
  <si>
    <t>APRIPISTA CON ATTREZZO DECESPUGLIATRICE</t>
  </si>
  <si>
    <t>APRIPISTA CON ATTR. SPIETRATRICE E DECESPUGLIATRICE</t>
  </si>
  <si>
    <t>TA</t>
  </si>
  <si>
    <t>CASSONE</t>
  </si>
  <si>
    <t>TB</t>
  </si>
  <si>
    <t>CASSONE AUTOCARICANTE</t>
  </si>
  <si>
    <t>TG</t>
  </si>
  <si>
    <t>CASSONE CON POSTO DI GUIDA INVERTIBILE</t>
  </si>
  <si>
    <t>TH</t>
  </si>
  <si>
    <t>CASSONE AUTOCARICANTE CON POSTO DI GUIDA INVERTIBILE</t>
  </si>
  <si>
    <t>TM</t>
  </si>
  <si>
    <t>MOTOCARRIOLA</t>
  </si>
  <si>
    <t>TR</t>
  </si>
  <si>
    <t xml:space="preserve">RIMORCHIO </t>
  </si>
  <si>
    <t>TS</t>
  </si>
  <si>
    <t xml:space="preserve">SEMIRIMORCHIO </t>
  </si>
  <si>
    <t>TX</t>
  </si>
  <si>
    <t xml:space="preserve">CARRELLO TRATTORE PER RIMORCHIO </t>
  </si>
  <si>
    <t>TY</t>
  </si>
  <si>
    <t xml:space="preserve">CARRELLO TRATTORE PER SEMIRIMORCHI </t>
  </si>
  <si>
    <t>VA</t>
  </si>
  <si>
    <t>CARRELLO CON FORCHE</t>
  </si>
  <si>
    <t>VB</t>
  </si>
  <si>
    <t xml:space="preserve">CARRELLO CON PIATTAFORMA </t>
  </si>
  <si>
    <t>VC</t>
  </si>
  <si>
    <t xml:space="preserve">CARRELLO CON PORTALE PORTATTREZZI </t>
  </si>
  <si>
    <t>VD</t>
  </si>
  <si>
    <t>CARRELLO CON SOLLEVATORE A BRACCIO TELESCOPICO</t>
  </si>
  <si>
    <t>VT</t>
  </si>
  <si>
    <t xml:space="preserve">CARRELLO TRATTORE </t>
  </si>
  <si>
    <t>XE</t>
  </si>
  <si>
    <t>RUSPA CON ELEVATORE</t>
  </si>
  <si>
    <t>XM</t>
  </si>
  <si>
    <t xml:space="preserve">MOTOCARRIOLA CON BRACCIO ESCAVATORE </t>
  </si>
  <si>
    <t>ZA</t>
  </si>
  <si>
    <t>CARICATORE</t>
  </si>
  <si>
    <t>ZB</t>
  </si>
  <si>
    <t>ZC</t>
  </si>
  <si>
    <t>PALA CARICATRICE</t>
  </si>
  <si>
    <t>ZD</t>
  </si>
  <si>
    <t>CARICATORE A CUCCHIAIA</t>
  </si>
  <si>
    <t>ZE</t>
  </si>
  <si>
    <t>CARICATORE A CUCCHIAIA-BENNA</t>
  </si>
  <si>
    <t>ZF</t>
  </si>
  <si>
    <t>CARICATORE CON ATTR. INTERCAMBIABILE DI SOLLEVAMENTO</t>
  </si>
  <si>
    <t>OUTPUT STRINGHE</t>
  </si>
  <si>
    <t>Principale</t>
  </si>
  <si>
    <t>CIMO (RI)</t>
  </si>
  <si>
    <t>RD A</t>
  </si>
  <si>
    <t>RD B</t>
  </si>
  <si>
    <t>TITOLO INSERIMENTO</t>
  </si>
  <si>
    <t>CONCATENAMENTO STRINGA PRINCIPALE OMMO</t>
  </si>
  <si>
    <t>CIMO</t>
  </si>
  <si>
    <t>Descrittive A formattate</t>
  </si>
  <si>
    <t>Descrittive B formattate</t>
  </si>
  <si>
    <t>ANTEPRIMA CdC esplicitata DESCRITTIVA A</t>
  </si>
  <si>
    <t>ANTEPRIMA CdC esplicitata DESCRITTIVA B</t>
  </si>
  <si>
    <t>RIGHE DESCRITTIVE OCCUPATE:</t>
  </si>
  <si>
    <t>LUNGHEZZA DEL CAMPO</t>
  </si>
  <si>
    <t>LUNGHEZZA EFFETTIVA CAMPO</t>
  </si>
  <si>
    <t>N. DECIMALI</t>
  </si>
  <si>
    <t>TIPO CARATTERI</t>
  </si>
  <si>
    <t>ALFANUMERICI</t>
  </si>
  <si>
    <t>NUMERICI</t>
  </si>
  <si>
    <t>ALFABETICI</t>
  </si>
  <si>
    <t>ELABORAZIONE RIGHE DESCRITTIVE "A"</t>
  </si>
  <si>
    <t>CAMPO 1</t>
  </si>
  <si>
    <t>TOTALE:</t>
  </si>
  <si>
    <t>POSIZIONI</t>
  </si>
  <si>
    <t>VALORI</t>
  </si>
  <si>
    <t>POSIZIONI CdC</t>
  </si>
  <si>
    <t>DIVISIONE e COMPLETAMENTO RIGHE</t>
  </si>
  <si>
    <t>1o "*"</t>
  </si>
  <si>
    <t>2o "*"</t>
  </si>
  <si>
    <t>1o "a capo"</t>
  </si>
  <si>
    <t>OUTPUT</t>
  </si>
  <si>
    <t>Residuo</t>
  </si>
  <si>
    <t>Output liberato da spazi</t>
  </si>
  <si>
    <t>Caratteri mancanti</t>
  </si>
  <si>
    <t>#1</t>
  </si>
  <si>
    <t>#2</t>
  </si>
  <si>
    <t>#3</t>
  </si>
  <si>
    <t>#4</t>
  </si>
  <si>
    <t>#5</t>
  </si>
  <si>
    <t>2o"*"</t>
  </si>
  <si>
    <t>C1</t>
  </si>
  <si>
    <t>#1-Format</t>
  </si>
  <si>
    <t>C2</t>
  </si>
  <si>
    <t>#2-Format</t>
  </si>
  <si>
    <t>C3</t>
  </si>
  <si>
    <t>#3-Format</t>
  </si>
  <si>
    <t>C4</t>
  </si>
  <si>
    <t>#4-Format</t>
  </si>
  <si>
    <t>C5</t>
  </si>
  <si>
    <t>#5-Format</t>
  </si>
  <si>
    <t>CTOT</t>
  </si>
  <si>
    <t>Traduzione asteriscate</t>
  </si>
  <si>
    <t>OUTPUT CdC</t>
  </si>
  <si>
    <t>Residuo CdC</t>
  </si>
  <si>
    <t>RIGA NULLA NECESSARIA</t>
  </si>
  <si>
    <t>TOT</t>
  </si>
  <si>
    <t>MESSAGGIO ERRORE</t>
  </si>
  <si>
    <t>OUTPUT ESPLICITATO</t>
  </si>
  <si>
    <t>CAMPO 2</t>
  </si>
  <si>
    <t>CAMPO 3</t>
  </si>
  <si>
    <t>CAMPO 4</t>
  </si>
  <si>
    <t>ELABORAZIONE RIGHE DESCRITTIVE "B"</t>
  </si>
  <si>
    <t>IMPOSTAZIONI</t>
  </si>
  <si>
    <t>GENERALE</t>
  </si>
  <si>
    <t>VALORE</t>
  </si>
  <si>
    <t>Nome</t>
  </si>
  <si>
    <t>MakingOMMO</t>
  </si>
  <si>
    <t>Versione</t>
  </si>
  <si>
    <t>Denominazione autore (orizzontale)</t>
  </si>
  <si>
    <t>Centro Prova Autoveicoli di Milano con sezione di Brescia</t>
  </si>
  <si>
    <t>Denominazione autore (verticale)</t>
  </si>
  <si>
    <t>C  e  n  t  r  o      P  r  o  v  a      A  u  t  o  v  e  i  c  o  l  i      d  i      M  i  l  a  n  o      c  o  n      s  e  z  i  o  n  e      d  i      B  r   e  s  c  i  a</t>
  </si>
  <si>
    <t>RIGHE DESCRITTIVE</t>
  </si>
  <si>
    <t>NOME EXCEL</t>
  </si>
  <si>
    <t>Lunghezza caratteri righe descrittive</t>
  </si>
  <si>
    <t>LUNGH</t>
  </si>
  <si>
    <t>N. righe descrittive A, B</t>
  </si>
  <si>
    <t>NUMRD</t>
  </si>
  <si>
    <t>N. righe descrittive aggiuntive (Jolly)</t>
  </si>
  <si>
    <t>NUMRDJ</t>
  </si>
  <si>
    <t>Riga di spazi vuoti lunga LUNGH</t>
  </si>
  <si>
    <t>SPAZI</t>
  </si>
  <si>
    <t>CONTROLLO STRINGA</t>
  </si>
  <si>
    <t>Massima lunghezza campo</t>
  </si>
  <si>
    <t>MAX_CAMPO</t>
  </si>
  <si>
    <t>Riga di zeri lunga MAX_CAMPO</t>
  </si>
  <si>
    <t>M_ZERI</t>
  </si>
  <si>
    <t>M_SPAZI</t>
  </si>
  <si>
    <t>FORMATTAZIONE</t>
  </si>
  <si>
    <t>Foglio INSERIMENTO</t>
  </si>
  <si>
    <t>N. veicoli inseribili</t>
  </si>
  <si>
    <t>Foglio STRINGA</t>
  </si>
  <si>
    <t>Righe intestazioni</t>
  </si>
  <si>
    <t>REGOLE</t>
  </si>
  <si>
    <t>NOTE</t>
  </si>
  <si>
    <t>VERIFICA INSERIMENTO</t>
  </si>
  <si>
    <t>Lunghezza campo</t>
  </si>
  <si>
    <t>default ON</t>
  </si>
  <si>
    <t>formatt. Condiz.</t>
  </si>
  <si>
    <t>Esistenza asteriscata</t>
  </si>
  <si>
    <t>messaggio + formatt. condiz.</t>
  </si>
  <si>
    <t>Lunghezza campi asteriscata</t>
  </si>
  <si>
    <r>
      <t xml:space="preserve">Prescrizioni+RigheA+RigheB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19</t>
    </r>
  </si>
  <si>
    <t>riduzione righe e caratteri disponibili</t>
  </si>
  <si>
    <t>Elenchi</t>
  </si>
  <si>
    <t>manuale ON</t>
  </si>
  <si>
    <t>forzamento elenchi</t>
  </si>
  <si>
    <t>Coerenza lunghezza-sbalzi-interassi</t>
  </si>
  <si>
    <t>Errore se SB ANT + SB POST + LUNGH + INT1,2,3 &lt;&gt; LUNGH se tutti compilati</t>
  </si>
  <si>
    <t>Interassi</t>
  </si>
  <si>
    <t>Errore se n. interassi &lt;&gt; interassi compilati</t>
  </si>
  <si>
    <t>N. inserimenti</t>
  </si>
  <si>
    <t>Nome Inserimenti</t>
  </si>
  <si>
    <t>ANTEPRIMA RAPIDA</t>
  </si>
  <si>
    <t>Num</t>
  </si>
  <si>
    <t>Contenuto</t>
  </si>
  <si>
    <t>Concatenato</t>
  </si>
  <si>
    <t>IL    RIMORCHIO   DEVE ESSERE   TRAINATO   DA   TRATTRICE    CON   PESO RIMORCHIABILE  NON   INFERIORE  AL  PESO COMPLESSIVO DEL RIMORCHIO CON MASSA VERTICALE SUL GANCIO NON INFERIORE ALLA MASSA TRASMESSA DALL’OCCHIONE. ####-#######################</t>
  </si>
  <si>
    <t>IL    RIMORCHIO   DEVE ESSERE   TRAINATO   DA   TRATTRICE    CON   PESO RIMORCHIABILE  NON   INFERIORE  AL  PESO COMPLESSIVO DEL RIMORCHIO CON MASSA VERTICALE SUL GANCIO NON INFERIORE ALLA MASSA TRASMESSA DALL’OCCHIONE. ####-####################### [ANTEPRIMA NON AFFIDABILE]</t>
  </si>
  <si>
    <r>
      <t xml:space="preserve">Tutte le voci degli elenchi a tendina sono consultabili dal foglio </t>
    </r>
    <r>
      <rPr>
        <b/>
        <sz val="9"/>
        <color theme="1"/>
        <rFont val="Calibri"/>
        <family val="2"/>
        <scheme val="minor"/>
      </rPr>
      <t>ELENCHI</t>
    </r>
    <r>
      <rPr>
        <sz val="9"/>
        <color theme="1"/>
        <rFont val="Calibri"/>
        <family val="2"/>
        <scheme val="minor"/>
      </rPr>
      <t>.</t>
    </r>
  </si>
  <si>
    <r>
      <t xml:space="preserve">Utilizzare il foglio </t>
    </r>
    <r>
      <rPr>
        <b/>
        <sz val="9"/>
        <color theme="1"/>
        <rFont val="Calibri"/>
        <family val="2"/>
        <scheme val="minor"/>
      </rPr>
      <t>INSERIMENTO</t>
    </r>
    <r>
      <rPr>
        <sz val="9"/>
        <color theme="1"/>
        <rFont val="Calibri"/>
        <family val="2"/>
        <scheme val="minor"/>
      </rPr>
      <t xml:space="preserve"> per inserire i dati del veicolo.
</t>
    </r>
    <r>
      <rPr>
        <sz val="9"/>
        <color theme="1"/>
        <rFont val="Calibri"/>
        <family val="2"/>
      </rPr>
      <t>É</t>
    </r>
    <r>
      <rPr>
        <sz val="9"/>
        <color theme="1"/>
        <rFont val="Calibri"/>
        <family val="2"/>
        <scheme val="minor"/>
      </rPr>
      <t xml:space="preserve"> possibile inserire 4 diversi veicoli, uno per riga, differenziandoli con una "DENOMINAZIONE VEICOLO" che descriva brevemente il veicolo.
Compilare soltanto le celle a sfondo bianco.</t>
    </r>
  </si>
  <si>
    <r>
      <t xml:space="preserve">Compilare tutte le celle necessarie.
In ausilio del compilatore, tramite evidenziazione in </t>
    </r>
    <r>
      <rPr>
        <b/>
        <sz val="9"/>
        <color rgb="FFFF0000"/>
        <rFont val="Calibri"/>
        <family val="2"/>
        <scheme val="minor"/>
      </rPr>
      <t>rosso</t>
    </r>
    <r>
      <rPr>
        <sz val="9"/>
        <color theme="1"/>
        <rFont val="Calibri"/>
        <family val="2"/>
        <scheme val="minor"/>
      </rPr>
      <t xml:space="preserve"> della cella, sono previsti alcuni controlli di conguenza dei dati, ad esempio la verifica della lunghezza massima obbligatoria del campo.
I dati già formattati con "/" (barra) e "," (virgola) vanno inseriti con soli caratteri alfanumerici, verificare l'anteprima sottostante per confermarne la corretta digitazione.
É ammesso l'impiego delle *astersicate* incluse nella lista del foglio "ELENCHI".</t>
    </r>
  </si>
  <si>
    <r>
      <rPr>
        <sz val="9"/>
        <color theme="1"/>
        <rFont val="Calibri"/>
        <family val="2"/>
      </rPr>
      <t>É</t>
    </r>
    <r>
      <rPr>
        <sz val="9"/>
        <color theme="1"/>
        <rFont val="Calibri"/>
        <family val="2"/>
        <scheme val="minor"/>
      </rPr>
      <t xml:space="preserve"> possibile visualizzare l'anteprima di ogni singola maschera pre-compilata tramite il foglio </t>
    </r>
    <r>
      <rPr>
        <b/>
        <sz val="9"/>
        <color theme="1"/>
        <rFont val="Calibri"/>
        <family val="2"/>
        <scheme val="minor"/>
      </rPr>
      <t>ANTEPRIMA</t>
    </r>
    <r>
      <rPr>
        <sz val="9"/>
        <color theme="1"/>
        <rFont val="Calibri"/>
        <family val="2"/>
        <scheme val="minor"/>
      </rPr>
      <t>, scegliendo quale veicolo mostrare.</t>
    </r>
  </si>
  <si>
    <r>
      <t xml:space="preserve">Il foglio </t>
    </r>
    <r>
      <rPr>
        <b/>
        <sz val="9"/>
        <color theme="1"/>
        <rFont val="Calibri"/>
        <family val="2"/>
        <scheme val="minor"/>
      </rPr>
      <t>ANTEPRIMA</t>
    </r>
    <r>
      <rPr>
        <sz val="9"/>
        <color theme="1"/>
        <rFont val="Calibri"/>
        <family val="2"/>
        <scheme val="minor"/>
      </rPr>
      <t xml:space="preserve"> permette di visualizzare anche la trascrizione che risulterà sulla Carta di Circolazione.
Le *asteriscate* contenenti errori di forma vengono evidenziate in rosso.</t>
    </r>
  </si>
  <si>
    <t>3.0</t>
  </si>
  <si>
    <t>SALVATAGGIO FILE</t>
  </si>
  <si>
    <t>1 - Veicolo 1</t>
  </si>
  <si>
    <t>DENOMINAZIONE VEICOLO</t>
  </si>
  <si>
    <t>*RALLA=D=####;U=##,##;H=####/####*</t>
  </si>
  <si>
    <t>*RALLA</t>
  </si>
  <si>
    <t>FORZA ORIZZONTALE:#### KN CARICO VERTICALE MASSIMO:##,## T ALTEZ.RALLA MIN:#### MM MAX:#### MM</t>
  </si>
  <si>
    <t>*RALLA*: ANTEPRIMA NON DISPONIBILE</t>
  </si>
  <si>
    <t>v1.5</t>
  </si>
  <si>
    <t>BCS</t>
  </si>
  <si>
    <t>II - INSERIMENTO</t>
  </si>
  <si>
    <t>EU96125MOCPBS/23</t>
  </si>
  <si>
    <t>012023</t>
  </si>
  <si>
    <t>E3*2010/22/0084*07</t>
  </si>
  <si>
    <t xml:space="preserve">1S - Macchina operatrice semovente (senza capacita' di carico). </t>
  </si>
  <si>
    <t xml:space="preserve">A - PUO' CIRCOLARE SOLO A VUOTO. </t>
  </si>
  <si>
    <t xml:space="preserve">B - PUO' CIRCOLARE SENZA ATTREZZI DA LAVORO. </t>
  </si>
  <si>
    <t xml:space="preserve">S - OBBLIGO DISPOSIT. SUPPLEM. A LUCE LAMPEGG. APPROVATO ANCHE QUANDO NON E' OBBLIGAT. USO DISPOS. ILLUMINAZ. </t>
  </si>
  <si>
    <t>BCS ARH2/3 AKV 05B VOLCAN K 105 AR</t>
  </si>
  <si>
    <t>I - Italia</t>
  </si>
  <si>
    <t>G   -  Gasolio</t>
  </si>
  <si>
    <t>03769</t>
  </si>
  <si>
    <t>7210</t>
  </si>
  <si>
    <t xml:space="preserve">kubota v3800-cr-t-eu3              </t>
  </si>
  <si>
    <t>4295</t>
  </si>
  <si>
    <t>1650</t>
  </si>
  <si>
    <t>1350</t>
  </si>
  <si>
    <t>1450</t>
  </si>
  <si>
    <t>1495</t>
  </si>
  <si>
    <t>2</t>
  </si>
  <si>
    <t>3500</t>
  </si>
  <si>
    <t>340/65 R20 124A8 121B S.S.</t>
  </si>
  <si>
    <t>8</t>
  </si>
  <si>
    <t>404</t>
  </si>
  <si>
    <t>384</t>
  </si>
  <si>
    <t>MO - Macchina Operatrice</t>
  </si>
  <si>
    <t xml:space="preserve">M - MANUTENZIONE STRADE </t>
  </si>
  <si>
    <t xml:space="preserve">MO - DECESPUGLIATORE </t>
  </si>
  <si>
    <t>350</t>
  </si>
  <si>
    <t>5</t>
  </si>
  <si>
    <t>1</t>
  </si>
  <si>
    <t>PER MASSE, MASSE RIMORCHIABILI, PNEUMATICI, GANCI DI TRAINO, CARICHI VERTICALI, CARATTERISTICHE TECNICHE, ATTREZZATURE PORTATE E SEMIPORTATE, ALLESTIMENTI VARI , PRESCRIZIONI,  SI VEDA L'ALLEGATO TECNICO PARTE INTEGRANTE DELLA CARTA DI CIRCOLAZIONE.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</si>
</sst>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onsolas"/>
      <family val="3"/>
    </font>
    <font>
      <i/>
      <sz val="3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onsolas"/>
      <family val="3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onsolas"/>
      <family val="3"/>
    </font>
    <font>
      <sz val="12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theme="4" tint="0.79998168889431442"/>
      <name val="Consolas"/>
      <family val="3"/>
    </font>
    <font>
      <b/>
      <sz val="9"/>
      <color theme="1"/>
      <name val="Consolas"/>
      <family val="3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onsolas"/>
      <family val="3"/>
    </font>
    <font>
      <u/>
      <sz val="9"/>
      <name val="Consolas"/>
      <family val="3"/>
    </font>
    <font>
      <b/>
      <u/>
      <sz val="9"/>
      <name val="Consolas"/>
      <family val="3"/>
    </font>
    <font>
      <sz val="9"/>
      <name val="Consolas"/>
      <family val="3"/>
    </font>
    <font>
      <b/>
      <sz val="9"/>
      <color rgb="FF548DD4"/>
      <name val="Consolas"/>
      <family val="3"/>
    </font>
    <font>
      <u/>
      <sz val="9"/>
      <color theme="1"/>
      <name val="Consolas"/>
      <family val="3"/>
    </font>
    <font>
      <b/>
      <u/>
      <sz val="9"/>
      <color theme="1"/>
      <name val="Consolas"/>
      <family val="3"/>
    </font>
    <font>
      <b/>
      <sz val="9"/>
      <color theme="2" tint="-0.249977111117893"/>
      <name val="Consolas"/>
      <family val="3"/>
    </font>
    <font>
      <b/>
      <sz val="11"/>
      <color theme="0"/>
      <name val="Calibri"/>
      <family val="2"/>
      <scheme val="minor"/>
    </font>
    <font>
      <b/>
      <sz val="9"/>
      <color rgb="FFFF0000"/>
      <name val="Consolas"/>
      <family val="3"/>
    </font>
    <font>
      <b/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20"/>
      <color theme="6" tint="0.79998168889431442"/>
      <name val="Calibri"/>
      <family val="2"/>
      <scheme val="minor"/>
    </font>
    <font>
      <u/>
      <sz val="10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vertAlign val="superscript"/>
      <sz val="12"/>
      <color theme="5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1"/>
      <color rgb="FFD9D9D9"/>
      <name val="Calibri"/>
      <family val="2"/>
      <scheme val="minor"/>
    </font>
    <font>
      <sz val="11"/>
      <color theme="1"/>
      <name val="Courier New"/>
      <family val="3"/>
    </font>
    <font>
      <b/>
      <sz val="9"/>
      <color rgb="FFFFFFFF"/>
      <name val="Consolas"/>
      <family val="3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rgb="FF808080"/>
      <name val="Calibri"/>
      <family val="2"/>
      <scheme val="minor"/>
    </font>
    <font>
      <u/>
      <sz val="16"/>
      <color rgb="FF808080"/>
      <name val="Calibri"/>
      <family val="2"/>
      <scheme val="minor"/>
    </font>
    <font>
      <sz val="7"/>
      <color rgb="FF808080"/>
      <name val="Calibri"/>
      <family val="2"/>
      <scheme val="minor"/>
    </font>
    <font>
      <u/>
      <sz val="8"/>
      <color theme="1"/>
      <name val="Consolas"/>
      <family val="3"/>
    </font>
    <font>
      <b/>
      <sz val="8"/>
      <color theme="1"/>
      <name val="Consolas"/>
      <family val="3"/>
    </font>
    <font>
      <b/>
      <u/>
      <sz val="8"/>
      <color theme="1"/>
      <name val="Consolas"/>
      <family val="3"/>
    </font>
    <font>
      <b/>
      <sz val="8"/>
      <color rgb="FFFF0000"/>
      <name val="Consolas"/>
      <family val="3"/>
    </font>
    <font>
      <b/>
      <sz val="8"/>
      <color theme="2" tint="-0.249977111117893"/>
      <name val="Consolas"/>
      <family val="3"/>
    </font>
    <font>
      <sz val="12"/>
      <color theme="3" tint="0.3999755851924192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vertAlign val="superscript"/>
      <sz val="12"/>
      <color theme="7" tint="-0.249977111117893"/>
      <name val="Calibri"/>
      <family val="2"/>
      <scheme val="minor"/>
    </font>
    <font>
      <u/>
      <sz val="9"/>
      <color rgb="FF000000"/>
      <name val="Consolas"/>
      <family val="3"/>
    </font>
    <font>
      <sz val="12"/>
      <color theme="4"/>
      <name val="Calibri"/>
      <family val="2"/>
      <scheme val="minor"/>
    </font>
    <font>
      <u/>
      <sz val="8"/>
      <color rgb="FF808080"/>
      <name val="Consolas"/>
      <family val="3"/>
    </font>
    <font>
      <sz val="9"/>
      <color theme="1"/>
      <name val="Franklin Gothic Demi Cond"/>
      <family val="2"/>
    </font>
    <font>
      <sz val="12"/>
      <color theme="4" tint="0.59999389629810485"/>
      <name val="Franklin Gothic Demi Cond"/>
      <family val="2"/>
    </font>
    <font>
      <sz val="36"/>
      <color theme="3" tint="0.39997558519241921"/>
      <name val="Calibri"/>
      <family val="2"/>
      <scheme val="minor"/>
    </font>
    <font>
      <sz val="16"/>
      <color theme="4" tint="0.59999389629810485"/>
      <name val="Franklin Gothic Demi Cond"/>
      <family val="2"/>
    </font>
    <font>
      <sz val="14"/>
      <color theme="1"/>
      <name val="Franklin Gothic Demi Cond"/>
      <family val="2"/>
    </font>
    <font>
      <sz val="10"/>
      <color theme="4"/>
      <name val="Calibri"/>
      <family val="2"/>
      <scheme val="minor"/>
    </font>
    <font>
      <sz val="12"/>
      <color theme="1"/>
      <name val="Franklin Gothic Demi Cond"/>
      <family val="2"/>
    </font>
    <font>
      <b/>
      <sz val="14"/>
      <color theme="8" tint="0.59999389629810485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7"/>
      <color theme="0" tint="-0.499984740745262"/>
      <name val="Calibri"/>
      <family val="2"/>
      <scheme val="minor"/>
    </font>
    <font>
      <sz val="9"/>
      <color theme="1"/>
      <name val="Consolas"/>
      <family val="3"/>
    </font>
    <font>
      <sz val="10"/>
      <color theme="1"/>
      <name val="Consolas"/>
      <family val="3"/>
    </font>
    <font>
      <b/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10"/>
      <color rgb="FF002060"/>
      <name val="Franklin Gothic Demi Cond"/>
      <family val="2"/>
    </font>
    <font>
      <sz val="12"/>
      <color rgb="FF002060"/>
      <name val="Franklin Gothic Demi Cond"/>
      <family val="2"/>
    </font>
    <font>
      <sz val="7"/>
      <color rgb="FF002060"/>
      <name val="Franklin Gothic Book"/>
      <family val="2"/>
    </font>
    <font>
      <b/>
      <sz val="11"/>
      <color rgb="FF002060"/>
      <name val="Franklin Gothic Demi Cond"/>
      <family val="2"/>
    </font>
    <font>
      <b/>
      <sz val="14"/>
      <color rgb="FF002060"/>
      <name val="Franklin Gothic Demi Cond"/>
      <family val="2"/>
    </font>
    <font>
      <b/>
      <sz val="9"/>
      <color rgb="FF002060"/>
      <name val="Consolas"/>
      <family val="3"/>
    </font>
    <font>
      <b/>
      <sz val="9"/>
      <color rgb="FF002060"/>
      <name val="Franklin Gothic Demi Cond"/>
      <family val="2"/>
    </font>
    <font>
      <sz val="11"/>
      <color rgb="FF002060"/>
      <name val="Franklin Gothic Demi Cond"/>
      <family val="2"/>
    </font>
    <font>
      <sz val="14"/>
      <color rgb="FF002060"/>
      <name val="Franklin Gothic Demi Cond"/>
      <family val="2"/>
    </font>
  </fonts>
  <fills count="5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59999389629810485"/>
        <bgColor theme="0" tint="-4.9989318521683403E-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darkUp">
        <bgColor theme="0" tint="-0.14999847407452621"/>
      </patternFill>
    </fill>
    <fill>
      <patternFill patternType="darkUp">
        <bgColor rgb="FFFFFFFF"/>
      </patternFill>
    </fill>
    <fill>
      <patternFill patternType="darkUp">
        <bgColor rgb="FFA9D08E"/>
      </patternFill>
    </fill>
    <fill>
      <patternFill patternType="darkUp">
        <bgColor rgb="FFF8CBAD"/>
      </patternFill>
    </fill>
    <fill>
      <patternFill patternType="darkUp">
        <bgColor rgb="FFD9E1F2"/>
      </patternFill>
    </fill>
    <fill>
      <patternFill patternType="darkUp">
        <bgColor rgb="FFFFE699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9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77" fillId="0" borderId="0" applyNumberFormat="0" applyFill="0" applyBorder="0" applyAlignment="0" applyProtection="0"/>
  </cellStyleXfs>
  <cellXfs count="64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3" fillId="11" borderId="0" xfId="0" applyFont="1" applyFill="1"/>
    <xf numFmtId="0" fontId="0" fillId="11" borderId="0" xfId="0" applyFill="1"/>
    <xf numFmtId="0" fontId="0" fillId="0" borderId="0" xfId="0" applyAlignment="1">
      <alignment wrapText="1"/>
    </xf>
    <xf numFmtId="0" fontId="0" fillId="0" borderId="0" xfId="0" applyFill="1"/>
    <xf numFmtId="0" fontId="0" fillId="12" borderId="0" xfId="0" applyFill="1"/>
    <xf numFmtId="0" fontId="3" fillId="12" borderId="0" xfId="0" applyFont="1" applyFill="1"/>
    <xf numFmtId="0" fontId="6" fillId="0" borderId="9" xfId="0" applyFont="1" applyBorder="1"/>
    <xf numFmtId="0" fontId="3" fillId="0" borderId="9" xfId="0" applyFont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9" fillId="0" borderId="9" xfId="0" applyFont="1" applyBorder="1"/>
    <xf numFmtId="0" fontId="10" fillId="0" borderId="0" xfId="0" applyFont="1" applyAlignment="1">
      <alignment horizontal="center" vertical="center"/>
    </xf>
    <xf numFmtId="0" fontId="3" fillId="12" borderId="9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9" fillId="6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Font="1" applyFill="1" applyBorder="1"/>
    <xf numFmtId="0" fontId="3" fillId="11" borderId="7" xfId="0" applyFont="1" applyFill="1" applyBorder="1"/>
    <xf numFmtId="0" fontId="3" fillId="12" borderId="32" xfId="0" applyFont="1" applyFill="1" applyBorder="1"/>
    <xf numFmtId="0" fontId="0" fillId="0" borderId="0" xfId="0" applyAlignment="1">
      <alignment vertical="center"/>
    </xf>
    <xf numFmtId="0" fontId="8" fillId="8" borderId="16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8" fillId="8" borderId="35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29" xfId="0" applyFont="1" applyFill="1" applyBorder="1" applyAlignment="1">
      <alignment horizontal="left"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8" fillId="19" borderId="16" xfId="0" applyFont="1" applyFill="1" applyBorder="1" applyAlignment="1" applyProtection="1">
      <alignment horizontal="center" vertical="center"/>
      <protection locked="0"/>
    </xf>
    <xf numFmtId="0" fontId="8" fillId="19" borderId="9" xfId="0" applyFont="1" applyFill="1" applyBorder="1" applyAlignment="1" applyProtection="1">
      <alignment horizontal="center" vertical="center"/>
      <protection locked="0"/>
    </xf>
    <xf numFmtId="0" fontId="8" fillId="19" borderId="35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35" xfId="0" applyFont="1" applyFill="1" applyBorder="1" applyAlignment="1" applyProtection="1">
      <alignment horizontal="center" vertical="center"/>
      <protection locked="0"/>
    </xf>
    <xf numFmtId="0" fontId="20" fillId="17" borderId="28" xfId="0" applyFont="1" applyFill="1" applyBorder="1" applyAlignment="1">
      <alignment horizontal="left" vertical="center" wrapText="1"/>
    </xf>
    <xf numFmtId="0" fontId="20" fillId="17" borderId="12" xfId="0" applyFont="1" applyFill="1" applyBorder="1" applyAlignment="1">
      <alignment horizontal="left" vertical="center" wrapText="1"/>
    </xf>
    <xf numFmtId="0" fontId="20" fillId="17" borderId="29" xfId="0" applyFont="1" applyFill="1" applyBorder="1" applyAlignment="1">
      <alignment horizontal="left" vertical="center" wrapText="1"/>
    </xf>
    <xf numFmtId="0" fontId="20" fillId="16" borderId="28" xfId="0" applyFont="1" applyFill="1" applyBorder="1" applyAlignment="1">
      <alignment horizontal="left" vertical="center" wrapText="1"/>
    </xf>
    <xf numFmtId="0" fontId="20" fillId="16" borderId="12" xfId="0" applyFont="1" applyFill="1" applyBorder="1" applyAlignment="1">
      <alignment horizontal="left" vertical="center" wrapText="1"/>
    </xf>
    <xf numFmtId="0" fontId="20" fillId="16" borderId="29" xfId="0" applyFont="1" applyFill="1" applyBorder="1" applyAlignment="1">
      <alignment horizontal="left" vertical="center" wrapText="1"/>
    </xf>
    <xf numFmtId="0" fontId="20" fillId="18" borderId="28" xfId="0" applyFont="1" applyFill="1" applyBorder="1" applyAlignment="1">
      <alignment horizontal="left" vertical="center" wrapText="1"/>
    </xf>
    <xf numFmtId="0" fontId="20" fillId="18" borderId="12" xfId="0" applyFont="1" applyFill="1" applyBorder="1" applyAlignment="1">
      <alignment horizontal="left" vertical="center" wrapText="1"/>
    </xf>
    <xf numFmtId="0" fontId="20" fillId="18" borderId="2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24" fillId="13" borderId="9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13" borderId="9" xfId="1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3" borderId="0" xfId="0" applyFill="1"/>
    <xf numFmtId="0" fontId="31" fillId="0" borderId="9" xfId="0" applyFont="1" applyBorder="1"/>
    <xf numFmtId="0" fontId="0" fillId="12" borderId="32" xfId="0" applyFill="1" applyBorder="1"/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13" borderId="32" xfId="0" applyFont="1" applyFill="1" applyBorder="1" applyAlignment="1">
      <alignment horizontal="center"/>
    </xf>
    <xf numFmtId="0" fontId="3" fillId="23" borderId="0" xfId="0" applyFont="1" applyFill="1"/>
    <xf numFmtId="0" fontId="0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vertical="top"/>
    </xf>
    <xf numFmtId="0" fontId="3" fillId="15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vertic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49" fontId="0" fillId="5" borderId="0" xfId="0" applyNumberFormat="1" applyFont="1" applyFill="1"/>
    <xf numFmtId="0" fontId="0" fillId="11" borderId="7" xfId="0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7" fillId="12" borderId="32" xfId="0" applyFont="1" applyFill="1" applyBorder="1"/>
    <xf numFmtId="0" fontId="3" fillId="8" borderId="9" xfId="0" applyFont="1" applyFill="1" applyBorder="1" applyAlignment="1" applyProtection="1">
      <alignment vertical="center"/>
    </xf>
    <xf numFmtId="0" fontId="11" fillId="8" borderId="9" xfId="0" applyFont="1" applyFill="1" applyBorder="1" applyAlignment="1">
      <alignment vertical="center" wrapText="1"/>
    </xf>
    <xf numFmtId="0" fontId="11" fillId="8" borderId="9" xfId="0" applyNumberFormat="1" applyFont="1" applyFill="1" applyBorder="1" applyAlignment="1">
      <alignment vertical="center" wrapText="1"/>
    </xf>
    <xf numFmtId="0" fontId="12" fillId="7" borderId="9" xfId="0" applyFont="1" applyFill="1" applyBorder="1" applyAlignment="1" applyProtection="1">
      <alignment vertical="center"/>
    </xf>
    <xf numFmtId="0" fontId="11" fillId="7" borderId="9" xfId="0" applyFont="1" applyFill="1" applyBorder="1" applyAlignment="1">
      <alignment vertical="center" wrapText="1"/>
    </xf>
    <xf numFmtId="0" fontId="11" fillId="15" borderId="9" xfId="0" applyFont="1" applyFill="1" applyBorder="1" applyAlignment="1">
      <alignment vertical="center" wrapText="1"/>
    </xf>
    <xf numFmtId="0" fontId="11" fillId="15" borderId="9" xfId="0" applyNumberFormat="1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11" borderId="4" xfId="0" applyFont="1" applyFill="1" applyBorder="1" applyAlignment="1">
      <alignment vertical="center"/>
    </xf>
    <xf numFmtId="0" fontId="41" fillId="11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vertical="center"/>
    </xf>
    <xf numFmtId="0" fontId="43" fillId="5" borderId="0" xfId="0" applyFont="1" applyFill="1" applyBorder="1" applyAlignment="1">
      <alignment vertical="center"/>
    </xf>
    <xf numFmtId="0" fontId="43" fillId="11" borderId="0" xfId="0" applyFont="1" applyFill="1" applyBorder="1" applyAlignment="1">
      <alignment vertical="center"/>
    </xf>
    <xf numFmtId="0" fontId="0" fillId="11" borderId="9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31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0" fillId="5" borderId="9" xfId="0" applyFill="1" applyBorder="1"/>
    <xf numFmtId="0" fontId="19" fillId="26" borderId="9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1" fillId="4" borderId="9" xfId="0" applyFont="1" applyFill="1" applyBorder="1" applyAlignment="1">
      <alignment vertical="center" wrapText="1"/>
    </xf>
    <xf numFmtId="0" fontId="0" fillId="13" borderId="9" xfId="0" applyFill="1" applyBorder="1"/>
    <xf numFmtId="0" fontId="0" fillId="11" borderId="9" xfId="0" applyFont="1" applyFill="1" applyBorder="1" applyAlignment="1">
      <alignment horizontal="center" vertical="center" wrapText="1"/>
    </xf>
    <xf numFmtId="9" fontId="3" fillId="5" borderId="0" xfId="3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54" fillId="28" borderId="41" xfId="0" applyFont="1" applyFill="1" applyBorder="1"/>
    <xf numFmtId="0" fontId="55" fillId="28" borderId="41" xfId="0" applyFont="1" applyFill="1" applyBorder="1"/>
    <xf numFmtId="0" fontId="0" fillId="5" borderId="0" xfId="0" applyFont="1" applyFill="1" applyBorder="1" applyAlignment="1">
      <alignment horizontal="center" vertical="center" wrapText="1"/>
    </xf>
    <xf numFmtId="0" fontId="58" fillId="5" borderId="0" xfId="2" applyFont="1" applyFill="1" applyAlignment="1">
      <alignment horizontal="center" vertical="center"/>
    </xf>
    <xf numFmtId="0" fontId="0" fillId="5" borderId="22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59" fillId="13" borderId="9" xfId="1" applyFont="1" applyFill="1" applyBorder="1" applyAlignment="1">
      <alignment horizontal="center" vertical="center" wrapText="1"/>
    </xf>
    <xf numFmtId="0" fontId="59" fillId="12" borderId="9" xfId="1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 wrapText="1"/>
    </xf>
    <xf numFmtId="0" fontId="25" fillId="5" borderId="0" xfId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11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5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 wrapText="1"/>
    </xf>
    <xf numFmtId="0" fontId="23" fillId="30" borderId="42" xfId="0" applyFont="1" applyFill="1" applyBorder="1" applyAlignment="1">
      <alignment horizontal="center" vertical="center" wrapText="1"/>
    </xf>
    <xf numFmtId="0" fontId="56" fillId="30" borderId="42" xfId="0" applyFont="1" applyFill="1" applyBorder="1" applyAlignment="1">
      <alignment horizontal="center" vertical="center"/>
    </xf>
    <xf numFmtId="0" fontId="52" fillId="30" borderId="42" xfId="0" applyFont="1" applyFill="1" applyBorder="1" applyAlignment="1">
      <alignment horizontal="center" vertical="center" wrapText="1"/>
    </xf>
    <xf numFmtId="0" fontId="52" fillId="30" borderId="0" xfId="0" applyFont="1" applyFill="1" applyBorder="1" applyAlignment="1">
      <alignment horizontal="center" vertical="center" wrapText="1"/>
    </xf>
    <xf numFmtId="0" fontId="23" fillId="30" borderId="0" xfId="0" applyFont="1" applyFill="1" applyAlignment="1">
      <alignment horizontal="center" vertical="center" wrapText="1"/>
    </xf>
    <xf numFmtId="0" fontId="31" fillId="13" borderId="9" xfId="0" applyFont="1" applyFill="1" applyBorder="1"/>
    <xf numFmtId="0" fontId="19" fillId="13" borderId="9" xfId="0" applyFont="1" applyFill="1" applyBorder="1" applyAlignment="1">
      <alignment horizontal="left"/>
    </xf>
    <xf numFmtId="0" fontId="9" fillId="13" borderId="9" xfId="0" applyFont="1" applyFill="1" applyBorder="1"/>
    <xf numFmtId="0" fontId="0" fillId="13" borderId="9" xfId="0" applyFill="1" applyBorder="1" applyAlignment="1">
      <alignment horizontal="center"/>
    </xf>
    <xf numFmtId="0" fontId="0" fillId="13" borderId="9" xfId="0" applyFill="1" applyBorder="1" applyAlignment="1">
      <alignment horizontal="left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39" fillId="13" borderId="9" xfId="0" applyFont="1" applyFill="1" applyBorder="1" applyAlignment="1">
      <alignment horizontal="center" vertical="center" wrapText="1"/>
    </xf>
    <xf numFmtId="0" fontId="39" fillId="13" borderId="9" xfId="0" applyFont="1" applyFill="1" applyBorder="1" applyAlignment="1">
      <alignment vertical="center" wrapText="1"/>
    </xf>
    <xf numFmtId="49" fontId="60" fillId="5" borderId="0" xfId="0" applyNumberFormat="1" applyFont="1" applyFill="1" applyAlignment="1">
      <alignment horizontal="center" vertical="top"/>
    </xf>
    <xf numFmtId="49" fontId="60" fillId="0" borderId="0" xfId="0" applyNumberFormat="1" applyFont="1" applyAlignment="1">
      <alignment horizontal="center" vertical="top"/>
    </xf>
    <xf numFmtId="0" fontId="24" fillId="6" borderId="9" xfId="0" applyFont="1" applyFill="1" applyBorder="1" applyAlignment="1">
      <alignment horizontal="center" wrapText="1"/>
    </xf>
    <xf numFmtId="0" fontId="24" fillId="6" borderId="9" xfId="0" applyFont="1" applyFill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4" fillId="0" borderId="48" xfId="0" applyFont="1" applyFill="1" applyBorder="1" applyAlignment="1">
      <alignment horizontal="center" wrapText="1"/>
    </xf>
    <xf numFmtId="0" fontId="24" fillId="0" borderId="48" xfId="0" applyFont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 wrapText="1"/>
    </xf>
    <xf numFmtId="49" fontId="15" fillId="31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31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24" fillId="0" borderId="48" xfId="1" applyFont="1" applyBorder="1" applyAlignment="1">
      <alignment horizontal="center" vertical="center" wrapText="1"/>
    </xf>
    <xf numFmtId="0" fontId="0" fillId="5" borderId="48" xfId="0" applyFont="1" applyFill="1" applyBorder="1" applyAlignment="1">
      <alignment horizontal="center" vertical="center" wrapText="1"/>
    </xf>
    <xf numFmtId="0" fontId="24" fillId="5" borderId="48" xfId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1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1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73" fillId="32" borderId="51" xfId="0" applyFont="1" applyFill="1" applyBorder="1" applyAlignment="1">
      <alignment vertical="center" wrapText="1"/>
    </xf>
    <xf numFmtId="0" fontId="0" fillId="26" borderId="9" xfId="0" applyFill="1" applyBorder="1" applyAlignment="1">
      <alignment horizontal="center" vertical="center"/>
    </xf>
    <xf numFmtId="0" fontId="74" fillId="26" borderId="9" xfId="0" applyFont="1" applyFill="1" applyBorder="1" applyAlignment="1">
      <alignment horizontal="center" vertical="center" wrapText="1"/>
    </xf>
    <xf numFmtId="0" fontId="12" fillId="31" borderId="0" xfId="1" applyFont="1" applyFill="1" applyBorder="1" applyAlignment="1">
      <alignment horizontal="center" vertical="center" wrapText="1"/>
    </xf>
    <xf numFmtId="0" fontId="24" fillId="31" borderId="0" xfId="1" applyFont="1" applyFill="1" applyBorder="1" applyAlignment="1">
      <alignment horizontal="center" vertical="center" wrapText="1"/>
    </xf>
    <xf numFmtId="0" fontId="41" fillId="31" borderId="0" xfId="0" applyFont="1" applyFill="1" applyBorder="1" applyAlignment="1">
      <alignment vertical="center"/>
    </xf>
    <xf numFmtId="0" fontId="41" fillId="32" borderId="0" xfId="0" applyFont="1" applyFill="1" applyBorder="1" applyAlignment="1">
      <alignment vertical="center"/>
    </xf>
    <xf numFmtId="0" fontId="43" fillId="32" borderId="0" xfId="0" applyFont="1" applyFill="1" applyBorder="1" applyAlignment="1">
      <alignment vertical="center"/>
    </xf>
    <xf numFmtId="0" fontId="42" fillId="32" borderId="0" xfId="0" applyFont="1" applyFill="1" applyBorder="1" applyAlignment="1">
      <alignment vertical="center"/>
    </xf>
    <xf numFmtId="0" fontId="42" fillId="32" borderId="5" xfId="0" applyFont="1" applyFill="1" applyBorder="1" applyAlignment="1">
      <alignment vertical="center"/>
    </xf>
    <xf numFmtId="0" fontId="41" fillId="32" borderId="4" xfId="0" applyFont="1" applyFill="1" applyBorder="1" applyAlignment="1">
      <alignment vertical="center"/>
    </xf>
    <xf numFmtId="0" fontId="42" fillId="31" borderId="0" xfId="0" applyFont="1" applyFill="1" applyBorder="1" applyAlignment="1">
      <alignment vertical="center"/>
    </xf>
    <xf numFmtId="0" fontId="42" fillId="32" borderId="0" xfId="0" applyFont="1" applyFill="1" applyBorder="1" applyAlignment="1">
      <alignment horizontal="center" vertical="center"/>
    </xf>
    <xf numFmtId="0" fontId="53" fillId="29" borderId="32" xfId="0" applyFont="1" applyFill="1" applyBorder="1" applyAlignment="1">
      <alignment vertical="center"/>
    </xf>
    <xf numFmtId="0" fontId="37" fillId="29" borderId="32" xfId="0" applyFont="1" applyFill="1" applyBorder="1" applyAlignment="1">
      <alignment vertical="center"/>
    </xf>
    <xf numFmtId="0" fontId="37" fillId="29" borderId="0" xfId="0" applyFont="1" applyFill="1" applyBorder="1" applyAlignment="1">
      <alignment vertical="center"/>
    </xf>
    <xf numFmtId="0" fontId="38" fillId="5" borderId="0" xfId="0" applyFont="1" applyFill="1" applyAlignment="1">
      <alignment vertical="center"/>
    </xf>
    <xf numFmtId="0" fontId="38" fillId="0" borderId="0" xfId="0" applyFont="1" applyAlignment="1" applyProtection="1">
      <alignment vertical="center"/>
    </xf>
    <xf numFmtId="0" fontId="38" fillId="0" borderId="0" xfId="0" applyFont="1" applyAlignment="1">
      <alignment vertical="center"/>
    </xf>
    <xf numFmtId="0" fontId="38" fillId="5" borderId="0" xfId="0" applyFont="1" applyFill="1" applyBorder="1" applyAlignment="1">
      <alignment vertical="center"/>
    </xf>
    <xf numFmtId="0" fontId="37" fillId="21" borderId="32" xfId="0" applyFont="1" applyFill="1" applyBorder="1" applyAlignment="1">
      <alignment vertical="center"/>
    </xf>
    <xf numFmtId="0" fontId="49" fillId="21" borderId="32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vertical="center"/>
    </xf>
    <xf numFmtId="0" fontId="38" fillId="11" borderId="2" xfId="0" applyFont="1" applyFill="1" applyBorder="1" applyAlignment="1">
      <alignment vertical="center"/>
    </xf>
    <xf numFmtId="0" fontId="38" fillId="11" borderId="3" xfId="0" applyFont="1" applyFill="1" applyBorder="1" applyAlignment="1">
      <alignment vertical="center"/>
    </xf>
    <xf numFmtId="0" fontId="41" fillId="11" borderId="5" xfId="0" applyFont="1" applyFill="1" applyBorder="1" applyAlignment="1">
      <alignment vertical="center"/>
    </xf>
    <xf numFmtId="0" fontId="38" fillId="32" borderId="0" xfId="0" applyFont="1" applyFill="1" applyAlignment="1">
      <alignment vertical="center"/>
    </xf>
    <xf numFmtId="0" fontId="38" fillId="31" borderId="0" xfId="0" applyFont="1" applyFill="1" applyAlignment="1">
      <alignment vertical="center"/>
    </xf>
    <xf numFmtId="0" fontId="41" fillId="11" borderId="0" xfId="0" applyFont="1" applyFill="1" applyBorder="1" applyAlignment="1">
      <alignment horizontal="right" vertical="center"/>
    </xf>
    <xf numFmtId="0" fontId="38" fillId="11" borderId="5" xfId="0" applyFont="1" applyFill="1" applyBorder="1" applyAlignment="1">
      <alignment vertical="center"/>
    </xf>
    <xf numFmtId="0" fontId="41" fillId="32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left" vertical="center"/>
    </xf>
    <xf numFmtId="0" fontId="44" fillId="11" borderId="0" xfId="0" applyFont="1" applyFill="1" applyBorder="1" applyAlignment="1">
      <alignment vertical="center"/>
    </xf>
    <xf numFmtId="0" fontId="44" fillId="32" borderId="0" xfId="0" applyFont="1" applyFill="1" applyBorder="1" applyAlignment="1">
      <alignment vertical="center"/>
    </xf>
    <xf numFmtId="0" fontId="41" fillId="31" borderId="0" xfId="0" applyFont="1" applyFill="1" applyBorder="1" applyAlignment="1">
      <alignment horizontal="center" vertical="center"/>
    </xf>
    <xf numFmtId="0" fontId="41" fillId="32" borderId="0" xfId="0" applyFont="1" applyFill="1" applyBorder="1" applyAlignment="1">
      <alignment horizontal="center" vertical="center"/>
    </xf>
    <xf numFmtId="0" fontId="41" fillId="32" borderId="5" xfId="0" applyFont="1" applyFill="1" applyBorder="1" applyAlignment="1">
      <alignment vertical="center"/>
    </xf>
    <xf numFmtId="0" fontId="38" fillId="32" borderId="4" xfId="0" applyFont="1" applyFill="1" applyBorder="1" applyAlignment="1">
      <alignment vertical="center"/>
    </xf>
    <xf numFmtId="0" fontId="41" fillId="32" borderId="6" xfId="0" applyFont="1" applyFill="1" applyBorder="1" applyAlignment="1">
      <alignment vertical="center"/>
    </xf>
    <xf numFmtId="0" fontId="41" fillId="32" borderId="7" xfId="0" applyFont="1" applyFill="1" applyBorder="1" applyAlignment="1">
      <alignment vertical="center"/>
    </xf>
    <xf numFmtId="0" fontId="41" fillId="32" borderId="8" xfId="0" applyFont="1" applyFill="1" applyBorder="1" applyAlignment="1">
      <alignment vertical="center"/>
    </xf>
    <xf numFmtId="0" fontId="38" fillId="11" borderId="0" xfId="0" applyFont="1" applyFill="1" applyBorder="1" applyAlignment="1">
      <alignment vertical="center"/>
    </xf>
    <xf numFmtId="0" fontId="46" fillId="31" borderId="0" xfId="0" applyFont="1" applyFill="1" applyBorder="1" applyAlignment="1">
      <alignment vertical="center"/>
    </xf>
    <xf numFmtId="0" fontId="48" fillId="24" borderId="0" xfId="0" applyFont="1" applyFill="1" applyBorder="1" applyAlignment="1">
      <alignment vertical="center"/>
    </xf>
    <xf numFmtId="0" fontId="41" fillId="32" borderId="0" xfId="0" applyFont="1" applyFill="1" applyAlignment="1">
      <alignment vertical="center"/>
    </xf>
    <xf numFmtId="0" fontId="41" fillId="32" borderId="52" xfId="0" applyFont="1" applyFill="1" applyBorder="1" applyAlignment="1">
      <alignment vertical="center"/>
    </xf>
    <xf numFmtId="0" fontId="41" fillId="32" borderId="53" xfId="0" applyFont="1" applyFill="1" applyBorder="1" applyAlignment="1">
      <alignment vertical="center"/>
    </xf>
    <xf numFmtId="0" fontId="41" fillId="32" borderId="54" xfId="0" applyFont="1" applyFill="1" applyBorder="1" applyAlignment="1">
      <alignment vertical="center"/>
    </xf>
    <xf numFmtId="0" fontId="41" fillId="32" borderId="55" xfId="0" applyFont="1" applyFill="1" applyBorder="1" applyAlignment="1">
      <alignment vertical="center"/>
    </xf>
    <xf numFmtId="0" fontId="41" fillId="32" borderId="56" xfId="0" applyFont="1" applyFill="1" applyBorder="1" applyAlignment="1">
      <alignment vertical="center"/>
    </xf>
    <xf numFmtId="0" fontId="41" fillId="32" borderId="57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0" fontId="42" fillId="5" borderId="0" xfId="0" applyFont="1" applyFill="1" applyAlignment="1">
      <alignment vertical="center"/>
    </xf>
    <xf numFmtId="0" fontId="42" fillId="31" borderId="0" xfId="0" applyFont="1" applyFill="1" applyAlignment="1">
      <alignment vertical="center"/>
    </xf>
    <xf numFmtId="0" fontId="41" fillId="11" borderId="58" xfId="0" applyFont="1" applyFill="1" applyBorder="1" applyAlignment="1">
      <alignment vertical="center"/>
    </xf>
    <xf numFmtId="0" fontId="41" fillId="11" borderId="52" xfId="0" applyFont="1" applyFill="1" applyBorder="1" applyAlignment="1">
      <alignment vertical="center"/>
    </xf>
    <xf numFmtId="0" fontId="0" fillId="16" borderId="9" xfId="0" applyNumberFormat="1" applyFont="1" applyFill="1" applyBorder="1" applyAlignment="1" applyProtection="1">
      <alignment horizontal="center" vertical="center"/>
    </xf>
    <xf numFmtId="0" fontId="0" fillId="16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 applyProtection="1">
      <alignment horizontal="center" vertical="center"/>
    </xf>
    <xf numFmtId="0" fontId="0" fillId="15" borderId="9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76" fillId="7" borderId="9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8" fillId="11" borderId="55" xfId="0" applyFont="1" applyFill="1" applyBorder="1" applyAlignment="1">
      <alignment vertical="center"/>
    </xf>
    <xf numFmtId="0" fontId="5" fillId="13" borderId="39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71" fillId="13" borderId="38" xfId="0" applyFont="1" applyFill="1" applyBorder="1" applyAlignment="1">
      <alignment horizontal="center" vertical="center" wrapText="1"/>
    </xf>
    <xf numFmtId="0" fontId="65" fillId="13" borderId="38" xfId="0" applyFont="1" applyFill="1" applyBorder="1" applyAlignment="1">
      <alignment horizontal="center" vertical="center" wrapText="1"/>
    </xf>
    <xf numFmtId="0" fontId="67" fillId="13" borderId="38" xfId="0" applyFont="1" applyFill="1" applyBorder="1" applyAlignment="1">
      <alignment horizontal="center" vertical="center" wrapText="1"/>
    </xf>
    <xf numFmtId="0" fontId="63" fillId="13" borderId="38" xfId="0" applyFont="1" applyFill="1" applyBorder="1" applyAlignment="1">
      <alignment horizontal="center" vertical="center" wrapText="1"/>
    </xf>
    <xf numFmtId="0" fontId="69" fillId="13" borderId="38" xfId="0" applyFont="1" applyFill="1" applyBorder="1" applyAlignment="1">
      <alignment horizontal="center" vertical="center" wrapText="1"/>
    </xf>
    <xf numFmtId="0" fontId="63" fillId="13" borderId="17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7" fillId="13" borderId="15" xfId="0" applyFont="1" applyFill="1" applyBorder="1" applyAlignment="1">
      <alignment horizontal="center" vertical="center" wrapText="1"/>
    </xf>
    <xf numFmtId="0" fontId="67" fillId="13" borderId="44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4" fillId="5" borderId="27" xfId="0" applyFont="1" applyFill="1" applyBorder="1" applyAlignment="1">
      <alignment horizontal="center" vertical="center" wrapText="1"/>
    </xf>
    <xf numFmtId="0" fontId="36" fillId="12" borderId="36" xfId="0" applyFont="1" applyFill="1" applyBorder="1" applyAlignment="1">
      <alignment horizontal="center"/>
    </xf>
    <xf numFmtId="0" fontId="35" fillId="12" borderId="36" xfId="0" applyFont="1" applyFill="1" applyBorder="1" applyAlignment="1">
      <alignment horizontal="center" vertical="center" wrapText="1"/>
    </xf>
    <xf numFmtId="0" fontId="0" fillId="0" borderId="59" xfId="0" applyBorder="1"/>
    <xf numFmtId="0" fontId="0" fillId="0" borderId="59" xfId="0" applyBorder="1" applyAlignment="1">
      <alignment horizontal="center"/>
    </xf>
    <xf numFmtId="0" fontId="19" fillId="26" borderId="59" xfId="0" applyFont="1" applyFill="1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0" xfId="0" applyBorder="1"/>
    <xf numFmtId="0" fontId="0" fillId="0" borderId="60" xfId="0" applyBorder="1" applyAlignment="1">
      <alignment horizontal="center"/>
    </xf>
    <xf numFmtId="0" fontId="19" fillId="26" borderId="60" xfId="0" applyFont="1" applyFill="1" applyBorder="1" applyAlignment="1">
      <alignment horizontal="left"/>
    </xf>
    <xf numFmtId="0" fontId="0" fillId="0" borderId="60" xfId="0" applyBorder="1" applyAlignment="1">
      <alignment horizontal="left"/>
    </xf>
    <xf numFmtId="0" fontId="26" fillId="13" borderId="61" xfId="0" applyFont="1" applyFill="1" applyBorder="1" applyAlignment="1">
      <alignment horizontal="center" vertical="center" wrapText="1"/>
    </xf>
    <xf numFmtId="0" fontId="26" fillId="13" borderId="44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 applyProtection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0" fillId="15" borderId="9" xfId="0" applyFont="1" applyFill="1" applyBorder="1" applyAlignment="1">
      <alignment horizontal="center" vertical="center"/>
    </xf>
    <xf numFmtId="0" fontId="41" fillId="27" borderId="62" xfId="0" applyFont="1" applyFill="1" applyBorder="1" applyAlignment="1">
      <alignment vertical="center"/>
    </xf>
    <xf numFmtId="0" fontId="38" fillId="27" borderId="52" xfId="0" applyFont="1" applyFill="1" applyBorder="1" applyAlignment="1">
      <alignment vertical="center"/>
    </xf>
    <xf numFmtId="0" fontId="49" fillId="27" borderId="52" xfId="0" applyFont="1" applyFill="1" applyBorder="1" applyAlignment="1">
      <alignment horizontal="left" vertical="center"/>
    </xf>
    <xf numFmtId="0" fontId="51" fillId="27" borderId="52" xfId="0" applyFont="1" applyFill="1" applyBorder="1" applyAlignment="1">
      <alignment horizontal="left" vertical="center"/>
    </xf>
    <xf numFmtId="0" fontId="38" fillId="27" borderId="53" xfId="0" applyFont="1" applyFill="1" applyBorder="1" applyAlignment="1">
      <alignment vertical="center"/>
    </xf>
    <xf numFmtId="0" fontId="48" fillId="24" borderId="55" xfId="0" applyFont="1" applyFill="1" applyBorder="1" applyAlignment="1">
      <alignment vertical="center"/>
    </xf>
    <xf numFmtId="0" fontId="38" fillId="24" borderId="56" xfId="0" applyFont="1" applyFill="1" applyBorder="1" applyAlignment="1">
      <alignment vertical="center"/>
    </xf>
    <xf numFmtId="0" fontId="45" fillId="11" borderId="62" xfId="0" applyFont="1" applyFill="1" applyBorder="1" applyAlignment="1">
      <alignment vertical="center"/>
    </xf>
    <xf numFmtId="0" fontId="38" fillId="11" borderId="52" xfId="0" applyFont="1" applyFill="1" applyBorder="1" applyAlignment="1">
      <alignment vertical="center"/>
    </xf>
    <xf numFmtId="0" fontId="38" fillId="11" borderId="53" xfId="0" applyFont="1" applyFill="1" applyBorder="1" applyAlignment="1">
      <alignment vertical="center"/>
    </xf>
    <xf numFmtId="0" fontId="38" fillId="11" borderId="54" xfId="0" applyFont="1" applyFill="1" applyBorder="1" applyAlignment="1">
      <alignment vertical="center"/>
    </xf>
    <xf numFmtId="0" fontId="38" fillId="11" borderId="63" xfId="0" applyFont="1" applyFill="1" applyBorder="1" applyAlignment="1">
      <alignment vertical="center"/>
    </xf>
    <xf numFmtId="0" fontId="38" fillId="11" borderId="56" xfId="0" applyFont="1" applyFill="1" applyBorder="1" applyAlignment="1">
      <alignment vertical="center"/>
    </xf>
    <xf numFmtId="0" fontId="38" fillId="11" borderId="57" xfId="0" applyFont="1" applyFill="1" applyBorder="1" applyAlignment="1">
      <alignment vertical="center"/>
    </xf>
    <xf numFmtId="0" fontId="48" fillId="24" borderId="54" xfId="0" applyFont="1" applyFill="1" applyBorder="1" applyAlignment="1">
      <alignment vertical="center"/>
    </xf>
    <xf numFmtId="0" fontId="8" fillId="8" borderId="60" xfId="0" applyFont="1" applyFill="1" applyBorder="1" applyAlignment="1" applyProtection="1">
      <alignment horizontal="center" vertical="center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 applyProtection="1">
      <alignment horizontal="center" vertical="center"/>
      <protection locked="0"/>
    </xf>
    <xf numFmtId="0" fontId="20" fillId="17" borderId="66" xfId="0" applyFont="1" applyFill="1" applyBorder="1" applyAlignment="1">
      <alignment horizontal="left" vertical="center" wrapText="1"/>
    </xf>
    <xf numFmtId="0" fontId="8" fillId="19" borderId="60" xfId="0" applyFont="1" applyFill="1" applyBorder="1" applyAlignment="1" applyProtection="1">
      <alignment horizontal="center" vertical="center"/>
      <protection locked="0"/>
    </xf>
    <xf numFmtId="0" fontId="20" fillId="16" borderId="66" xfId="0" applyFont="1" applyFill="1" applyBorder="1" applyAlignment="1">
      <alignment horizontal="left" vertical="center" wrapText="1"/>
    </xf>
    <xf numFmtId="0" fontId="20" fillId="18" borderId="66" xfId="0" applyFont="1" applyFill="1" applyBorder="1" applyAlignment="1">
      <alignment horizontal="left" vertical="center" wrapText="1"/>
    </xf>
    <xf numFmtId="49" fontId="31" fillId="5" borderId="0" xfId="0" applyNumberFormat="1" applyFont="1" applyFill="1"/>
    <xf numFmtId="49" fontId="31" fillId="0" borderId="0" xfId="0" applyNumberFormat="1" applyFont="1"/>
    <xf numFmtId="49" fontId="15" fillId="31" borderId="64" xfId="0" applyNumberFormat="1" applyFont="1" applyFill="1" applyBorder="1" applyAlignment="1" applyProtection="1">
      <alignment horizontal="center" vertical="center" wrapText="1"/>
      <protection locked="0"/>
    </xf>
    <xf numFmtId="0" fontId="4" fillId="32" borderId="9" xfId="0" applyFont="1" applyFill="1" applyBorder="1" applyAlignment="1">
      <alignment horizontal="center" vertical="center" wrapText="1"/>
    </xf>
    <xf numFmtId="0" fontId="38" fillId="32" borderId="2" xfId="0" applyFont="1" applyFill="1" applyBorder="1" applyAlignment="1">
      <alignment vertical="center"/>
    </xf>
    <xf numFmtId="0" fontId="42" fillId="11" borderId="0" xfId="0" applyFont="1" applyFill="1" applyBorder="1" applyAlignment="1">
      <alignment vertical="center"/>
    </xf>
    <xf numFmtId="0" fontId="42" fillId="11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vertical="center"/>
    </xf>
    <xf numFmtId="0" fontId="38" fillId="11" borderId="0" xfId="0" applyFont="1" applyFill="1" applyAlignment="1">
      <alignment vertical="center"/>
    </xf>
    <xf numFmtId="0" fontId="46" fillId="24" borderId="63" xfId="0" applyFont="1" applyFill="1" applyBorder="1" applyAlignment="1">
      <alignment horizontal="left" vertical="center"/>
    </xf>
    <xf numFmtId="0" fontId="47" fillId="24" borderId="56" xfId="0" applyFont="1" applyFill="1" applyBorder="1" applyAlignment="1">
      <alignment vertical="center"/>
    </xf>
    <xf numFmtId="0" fontId="46" fillId="24" borderId="7" xfId="0" applyFont="1" applyFill="1" applyBorder="1" applyAlignment="1">
      <alignment vertical="center"/>
    </xf>
    <xf numFmtId="0" fontId="38" fillId="24" borderId="57" xfId="0" applyFont="1" applyFill="1" applyBorder="1" applyAlignment="1">
      <alignment vertical="center"/>
    </xf>
    <xf numFmtId="0" fontId="41" fillId="32" borderId="67" xfId="0" applyFont="1" applyFill="1" applyBorder="1" applyAlignment="1">
      <alignment vertical="center"/>
    </xf>
    <xf numFmtId="0" fontId="81" fillId="5" borderId="54" xfId="0" applyFont="1" applyFill="1" applyBorder="1" applyAlignment="1">
      <alignment vertical="center"/>
    </xf>
    <xf numFmtId="0" fontId="81" fillId="5" borderId="0" xfId="0" applyFont="1" applyFill="1" applyBorder="1" applyAlignment="1">
      <alignment vertical="center"/>
    </xf>
    <xf numFmtId="0" fontId="81" fillId="31" borderId="0" xfId="0" applyFont="1" applyFill="1" applyBorder="1" applyAlignment="1">
      <alignment vertical="center"/>
    </xf>
    <xf numFmtId="0" fontId="81" fillId="11" borderId="0" xfId="0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82" fillId="5" borderId="0" xfId="0" applyFont="1" applyFill="1" applyBorder="1" applyAlignment="1">
      <alignment vertical="center"/>
    </xf>
    <xf numFmtId="0" fontId="81" fillId="5" borderId="54" xfId="0" applyFont="1" applyFill="1" applyBorder="1" applyAlignment="1">
      <alignment horizontal="left" vertical="center"/>
    </xf>
    <xf numFmtId="0" fontId="83" fillId="5" borderId="0" xfId="0" applyFont="1" applyFill="1" applyBorder="1" applyAlignment="1">
      <alignment vertical="center"/>
    </xf>
    <xf numFmtId="0" fontId="84" fillId="24" borderId="0" xfId="0" applyFont="1" applyFill="1" applyBorder="1" applyAlignment="1">
      <alignment vertical="center"/>
    </xf>
    <xf numFmtId="0" fontId="85" fillId="24" borderId="0" xfId="0" applyFont="1" applyFill="1" applyBorder="1" applyAlignment="1">
      <alignment vertical="center"/>
    </xf>
    <xf numFmtId="0" fontId="50" fillId="11" borderId="55" xfId="0" applyFont="1" applyFill="1" applyBorder="1" applyAlignment="1">
      <alignment vertical="center"/>
    </xf>
    <xf numFmtId="0" fontId="28" fillId="9" borderId="0" xfId="0" applyFont="1" applyFill="1" applyAlignment="1">
      <alignment horizontal="center" vertical="center"/>
    </xf>
    <xf numFmtId="0" fontId="56" fillId="30" borderId="42" xfId="0" applyFont="1" applyFill="1" applyBorder="1" applyAlignment="1">
      <alignment horizontal="left" vertical="center"/>
    </xf>
    <xf numFmtId="0" fontId="71" fillId="13" borderId="69" xfId="0" applyFont="1" applyFill="1" applyBorder="1" applyAlignment="1">
      <alignment horizontal="center" vertical="center" wrapText="1"/>
    </xf>
    <xf numFmtId="49" fontId="15" fillId="31" borderId="69" xfId="0" applyNumberFormat="1" applyFont="1" applyFill="1" applyBorder="1" applyAlignment="1" applyProtection="1">
      <alignment horizontal="center" vertical="center" wrapText="1"/>
      <protection locked="0"/>
    </xf>
    <xf numFmtId="49" fontId="0" fillId="31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16" xfId="0" applyFont="1" applyFill="1" applyBorder="1" applyAlignment="1" applyProtection="1">
      <alignment horizontal="center" vertical="center"/>
      <protection locked="0"/>
    </xf>
    <xf numFmtId="0" fontId="8" fillId="36" borderId="60" xfId="0" applyFont="1" applyFill="1" applyBorder="1" applyAlignment="1" applyProtection="1">
      <alignment horizontal="center" vertical="center"/>
      <protection locked="0"/>
    </xf>
    <xf numFmtId="0" fontId="8" fillId="36" borderId="9" xfId="0" applyFont="1" applyFill="1" applyBorder="1" applyAlignment="1" applyProtection="1">
      <alignment horizontal="center" vertical="center"/>
      <protection locked="0"/>
    </xf>
    <xf numFmtId="0" fontId="8" fillId="36" borderId="35" xfId="0" applyFont="1" applyFill="1" applyBorder="1" applyAlignment="1" applyProtection="1">
      <alignment horizontal="center" vertical="center"/>
      <protection locked="0"/>
    </xf>
    <xf numFmtId="0" fontId="0" fillId="16" borderId="10" xfId="0" applyNumberFormat="1" applyFont="1" applyFill="1" applyBorder="1" applyAlignment="1" applyProtection="1">
      <alignment horizontal="center" vertical="center"/>
    </xf>
    <xf numFmtId="0" fontId="4" fillId="11" borderId="74" xfId="0" applyFont="1" applyFill="1" applyBorder="1" applyAlignment="1">
      <alignment horizontal="center" vertical="center" wrapText="1"/>
    </xf>
    <xf numFmtId="0" fontId="0" fillId="8" borderId="74" xfId="0" applyFont="1" applyFill="1" applyBorder="1" applyAlignment="1">
      <alignment horizontal="center" vertical="center"/>
    </xf>
    <xf numFmtId="0" fontId="24" fillId="7" borderId="74" xfId="0" applyFont="1" applyFill="1" applyBorder="1" applyAlignment="1">
      <alignment horizontal="center" vertical="center"/>
    </xf>
    <xf numFmtId="0" fontId="0" fillId="15" borderId="74" xfId="0" applyFont="1" applyFill="1" applyBorder="1" applyAlignment="1">
      <alignment horizontal="center" vertical="center"/>
    </xf>
    <xf numFmtId="0" fontId="0" fillId="4" borderId="74" xfId="0" applyFont="1" applyFill="1" applyBorder="1" applyAlignment="1">
      <alignment horizontal="center" vertical="center"/>
    </xf>
    <xf numFmtId="0" fontId="0" fillId="14" borderId="9" xfId="0" applyFont="1" applyFill="1" applyBorder="1" applyAlignment="1">
      <alignment horizontal="center"/>
    </xf>
    <xf numFmtId="0" fontId="46" fillId="0" borderId="0" xfId="0" applyFont="1" applyAlignment="1">
      <alignment vertical="center"/>
    </xf>
    <xf numFmtId="0" fontId="89" fillId="31" borderId="0" xfId="0" applyFont="1" applyFill="1" applyBorder="1" applyAlignment="1">
      <alignment vertical="center"/>
    </xf>
    <xf numFmtId="0" fontId="75" fillId="31" borderId="0" xfId="0" applyFont="1" applyFill="1" applyBorder="1" applyAlignment="1">
      <alignment vertical="center"/>
    </xf>
    <xf numFmtId="0" fontId="75" fillId="32" borderId="0" xfId="0" applyFont="1" applyFill="1" applyBorder="1" applyAlignment="1">
      <alignment vertical="center"/>
    </xf>
    <xf numFmtId="49" fontId="80" fillId="40" borderId="40" xfId="0" applyNumberFormat="1" applyFont="1" applyFill="1" applyBorder="1" applyAlignment="1" applyProtection="1">
      <alignment horizontal="center" vertical="top" wrapText="1"/>
    </xf>
    <xf numFmtId="49" fontId="80" fillId="40" borderId="13" xfId="0" applyNumberFormat="1" applyFont="1" applyFill="1" applyBorder="1" applyAlignment="1" applyProtection="1">
      <alignment horizontal="center" vertical="top" wrapText="1"/>
    </xf>
    <xf numFmtId="49" fontId="80" fillId="40" borderId="73" xfId="0" applyNumberFormat="1" applyFont="1" applyFill="1" applyBorder="1" applyAlignment="1" applyProtection="1">
      <alignment horizontal="center" vertical="top" wrapText="1"/>
    </xf>
    <xf numFmtId="49" fontId="80" fillId="40" borderId="3" xfId="0" applyNumberFormat="1" applyFont="1" applyFill="1" applyBorder="1" applyAlignment="1" applyProtection="1">
      <alignment horizontal="center" vertical="top" wrapText="1"/>
    </xf>
    <xf numFmtId="49" fontId="80" fillId="40" borderId="71" xfId="0" applyNumberFormat="1" applyFont="1" applyFill="1" applyBorder="1" applyAlignment="1" applyProtection="1">
      <alignment horizontal="center" vertical="top" wrapText="1"/>
    </xf>
    <xf numFmtId="49" fontId="80" fillId="40" borderId="2" xfId="0" applyNumberFormat="1" applyFont="1" applyFill="1" applyBorder="1" applyAlignment="1" applyProtection="1">
      <alignment horizontal="center" vertical="top" wrapText="1"/>
    </xf>
    <xf numFmtId="49" fontId="80" fillId="40" borderId="1" xfId="0" applyNumberFormat="1" applyFont="1" applyFill="1" applyBorder="1" applyAlignment="1" applyProtection="1">
      <alignment horizontal="center" vertical="top" wrapText="1"/>
    </xf>
    <xf numFmtId="49" fontId="80" fillId="40" borderId="68" xfId="0" applyNumberFormat="1" applyFont="1" applyFill="1" applyBorder="1" applyAlignment="1" applyProtection="1">
      <alignment horizontal="center" vertical="top" wrapText="1"/>
    </xf>
    <xf numFmtId="0" fontId="80" fillId="8" borderId="37" xfId="0" applyNumberFormat="1" applyFont="1" applyFill="1" applyBorder="1" applyAlignment="1" applyProtection="1">
      <alignment horizontal="center" vertical="top" wrapText="1"/>
    </xf>
    <xf numFmtId="0" fontId="79" fillId="40" borderId="27" xfId="0" applyFont="1" applyFill="1" applyBorder="1" applyAlignment="1" applyProtection="1">
      <alignment horizontal="center" vertical="center" wrapText="1"/>
    </xf>
    <xf numFmtId="0" fontId="78" fillId="40" borderId="18" xfId="0" applyFont="1" applyFill="1" applyBorder="1" applyAlignment="1" applyProtection="1">
      <alignment horizontal="center" vertical="center" wrapText="1"/>
    </xf>
    <xf numFmtId="49" fontId="78" fillId="40" borderId="18" xfId="0" applyNumberFormat="1" applyFont="1" applyFill="1" applyBorder="1" applyAlignment="1" applyProtection="1">
      <alignment horizontal="center" vertical="center" wrapText="1"/>
    </xf>
    <xf numFmtId="0" fontId="78" fillId="40" borderId="18" xfId="0" applyNumberFormat="1" applyFont="1" applyFill="1" applyBorder="1" applyAlignment="1" applyProtection="1">
      <alignment horizontal="center" vertical="center" wrapText="1"/>
    </xf>
    <xf numFmtId="0" fontId="78" fillId="40" borderId="75" xfId="0" applyFont="1" applyFill="1" applyBorder="1" applyAlignment="1" applyProtection="1">
      <alignment horizontal="center" vertical="center" wrapText="1"/>
    </xf>
    <xf numFmtId="0" fontId="78" fillId="40" borderId="65" xfId="0" applyFont="1" applyFill="1" applyBorder="1" applyAlignment="1" applyProtection="1">
      <alignment horizontal="center" vertical="center" wrapText="1"/>
    </xf>
    <xf numFmtId="0" fontId="78" fillId="40" borderId="70" xfId="0" applyFont="1" applyFill="1" applyBorder="1" applyAlignment="1" applyProtection="1">
      <alignment horizontal="center" vertical="center" wrapText="1"/>
    </xf>
    <xf numFmtId="49" fontId="80" fillId="37" borderId="40" xfId="0" applyNumberFormat="1" applyFont="1" applyFill="1" applyBorder="1" applyAlignment="1" applyProtection="1">
      <alignment horizontal="center" vertical="top" wrapText="1"/>
    </xf>
    <xf numFmtId="49" fontId="80" fillId="37" borderId="13" xfId="0" applyNumberFormat="1" applyFont="1" applyFill="1" applyBorder="1" applyAlignment="1" applyProtection="1">
      <alignment horizontal="center" vertical="top" wrapText="1"/>
    </xf>
    <xf numFmtId="49" fontId="80" fillId="37" borderId="71" xfId="0" applyNumberFormat="1" applyFont="1" applyFill="1" applyBorder="1" applyAlignment="1" applyProtection="1">
      <alignment horizontal="center" vertical="top" wrapText="1"/>
    </xf>
    <xf numFmtId="49" fontId="80" fillId="37" borderId="3" xfId="0" applyNumberFormat="1" applyFont="1" applyFill="1" applyBorder="1" applyAlignment="1" applyProtection="1">
      <alignment horizontal="center" vertical="top" wrapText="1"/>
    </xf>
    <xf numFmtId="49" fontId="80" fillId="37" borderId="73" xfId="0" applyNumberFormat="1" applyFont="1" applyFill="1" applyBorder="1" applyAlignment="1" applyProtection="1">
      <alignment horizontal="center" vertical="top" wrapText="1"/>
    </xf>
    <xf numFmtId="49" fontId="80" fillId="37" borderId="68" xfId="0" applyNumberFormat="1" applyFont="1" applyFill="1" applyBorder="1" applyAlignment="1" applyProtection="1">
      <alignment horizontal="center" vertical="top" wrapText="1"/>
    </xf>
    <xf numFmtId="0" fontId="80" fillId="37" borderId="45" xfId="0" applyNumberFormat="1" applyFont="1" applyFill="1" applyBorder="1" applyAlignment="1" applyProtection="1">
      <alignment horizontal="center" vertical="top" wrapText="1"/>
    </xf>
    <xf numFmtId="0" fontId="80" fillId="37" borderId="37" xfId="0" applyNumberFormat="1" applyFont="1" applyFill="1" applyBorder="1" applyAlignment="1" applyProtection="1">
      <alignment horizontal="center" vertical="top" wrapText="1"/>
    </xf>
    <xf numFmtId="0" fontId="79" fillId="37" borderId="27" xfId="0" applyFont="1" applyFill="1" applyBorder="1" applyAlignment="1" applyProtection="1">
      <alignment horizontal="center" vertical="center" wrapText="1"/>
    </xf>
    <xf numFmtId="0" fontId="78" fillId="37" borderId="18" xfId="0" applyFont="1" applyFill="1" applyBorder="1" applyAlignment="1" applyProtection="1">
      <alignment horizontal="center" vertical="center" wrapText="1"/>
    </xf>
    <xf numFmtId="49" fontId="78" fillId="37" borderId="18" xfId="0" applyNumberFormat="1" applyFont="1" applyFill="1" applyBorder="1" applyAlignment="1" applyProtection="1">
      <alignment horizontal="center" vertical="center" wrapText="1"/>
    </xf>
    <xf numFmtId="0" fontId="78" fillId="37" borderId="75" xfId="0" applyFont="1" applyFill="1" applyBorder="1" applyAlignment="1" applyProtection="1">
      <alignment horizontal="center" vertical="center" wrapText="1"/>
    </xf>
    <xf numFmtId="0" fontId="78" fillId="37" borderId="65" xfId="0" applyFont="1" applyFill="1" applyBorder="1" applyAlignment="1" applyProtection="1">
      <alignment horizontal="center" vertical="center" wrapText="1"/>
    </xf>
    <xf numFmtId="0" fontId="78" fillId="37" borderId="70" xfId="0" applyFont="1" applyFill="1" applyBorder="1" applyAlignment="1" applyProtection="1">
      <alignment horizontal="center" vertical="center" wrapText="1"/>
    </xf>
    <xf numFmtId="49" fontId="80" fillId="35" borderId="3" xfId="0" applyNumberFormat="1" applyFont="1" applyFill="1" applyBorder="1" applyAlignment="1" applyProtection="1">
      <alignment horizontal="center" vertical="top" wrapText="1"/>
    </xf>
    <xf numFmtId="49" fontId="80" fillId="35" borderId="71" xfId="0" applyNumberFormat="1" applyFont="1" applyFill="1" applyBorder="1" applyAlignment="1" applyProtection="1">
      <alignment horizontal="center" vertical="top" wrapText="1"/>
    </xf>
    <xf numFmtId="49" fontId="80" fillId="35" borderId="68" xfId="0" applyNumberFormat="1" applyFont="1" applyFill="1" applyBorder="1" applyAlignment="1" applyProtection="1">
      <alignment horizontal="center" vertical="top" wrapText="1"/>
    </xf>
    <xf numFmtId="0" fontId="80" fillId="35" borderId="45" xfId="0" applyNumberFormat="1" applyFont="1" applyFill="1" applyBorder="1" applyAlignment="1" applyProtection="1">
      <alignment horizontal="center" vertical="top" wrapText="1"/>
    </xf>
    <xf numFmtId="0" fontId="80" fillId="35" borderId="37" xfId="0" applyNumberFormat="1" applyFont="1" applyFill="1" applyBorder="1" applyAlignment="1" applyProtection="1">
      <alignment horizontal="center" vertical="top" wrapText="1"/>
    </xf>
    <xf numFmtId="0" fontId="78" fillId="35" borderId="18" xfId="0" applyFont="1" applyFill="1" applyBorder="1" applyAlignment="1" applyProtection="1">
      <alignment horizontal="center" vertical="center" wrapText="1"/>
    </xf>
    <xf numFmtId="0" fontId="78" fillId="35" borderId="75" xfId="0" applyFont="1" applyFill="1" applyBorder="1" applyAlignment="1" applyProtection="1">
      <alignment horizontal="center" vertical="center" wrapText="1"/>
    </xf>
    <xf numFmtId="0" fontId="78" fillId="35" borderId="65" xfId="0" applyFont="1" applyFill="1" applyBorder="1" applyAlignment="1" applyProtection="1">
      <alignment horizontal="center" vertical="center" wrapText="1"/>
    </xf>
    <xf numFmtId="0" fontId="78" fillId="35" borderId="70" xfId="0" applyFont="1" applyFill="1" applyBorder="1" applyAlignment="1" applyProtection="1">
      <alignment horizontal="center" vertical="center" wrapText="1"/>
    </xf>
    <xf numFmtId="49" fontId="80" fillId="39" borderId="40" xfId="0" applyNumberFormat="1" applyFont="1" applyFill="1" applyBorder="1" applyAlignment="1" applyProtection="1">
      <alignment horizontal="center" vertical="top" wrapText="1"/>
    </xf>
    <xf numFmtId="49" fontId="80" fillId="39" borderId="13" xfId="0" applyNumberFormat="1" applyFont="1" applyFill="1" applyBorder="1" applyAlignment="1" applyProtection="1">
      <alignment horizontal="center" vertical="top" wrapText="1"/>
    </xf>
    <xf numFmtId="49" fontId="80" fillId="39" borderId="71" xfId="0" applyNumberFormat="1" applyFont="1" applyFill="1" applyBorder="1" applyAlignment="1" applyProtection="1">
      <alignment horizontal="center" vertical="top" wrapText="1"/>
    </xf>
    <xf numFmtId="49" fontId="80" fillId="39" borderId="3" xfId="0" applyNumberFormat="1" applyFont="1" applyFill="1" applyBorder="1" applyAlignment="1" applyProtection="1">
      <alignment horizontal="center" vertical="top" wrapText="1"/>
    </xf>
    <xf numFmtId="0" fontId="80" fillId="39" borderId="45" xfId="0" applyNumberFormat="1" applyFont="1" applyFill="1" applyBorder="1" applyAlignment="1" applyProtection="1">
      <alignment horizontal="center" vertical="top" wrapText="1"/>
    </xf>
    <xf numFmtId="0" fontId="80" fillId="39" borderId="37" xfId="0" applyNumberFormat="1" applyFont="1" applyFill="1" applyBorder="1" applyAlignment="1" applyProtection="1">
      <alignment horizontal="center" vertical="top" wrapText="1"/>
    </xf>
    <xf numFmtId="0" fontId="79" fillId="39" borderId="27" xfId="0" applyFont="1" applyFill="1" applyBorder="1" applyAlignment="1" applyProtection="1">
      <alignment horizontal="center" vertical="center" wrapText="1"/>
    </xf>
    <xf numFmtId="0" fontId="78" fillId="39" borderId="18" xfId="0" applyFont="1" applyFill="1" applyBorder="1" applyAlignment="1" applyProtection="1">
      <alignment horizontal="center" vertical="center" wrapText="1"/>
    </xf>
    <xf numFmtId="0" fontId="78" fillId="39" borderId="75" xfId="0" applyFont="1" applyFill="1" applyBorder="1" applyAlignment="1" applyProtection="1">
      <alignment horizontal="center" vertical="center" wrapText="1"/>
    </xf>
    <xf numFmtId="0" fontId="78" fillId="39" borderId="65" xfId="0" applyFont="1" applyFill="1" applyBorder="1" applyAlignment="1" applyProtection="1">
      <alignment horizontal="center" vertical="center" wrapText="1"/>
    </xf>
    <xf numFmtId="0" fontId="78" fillId="39" borderId="70" xfId="0" applyFont="1" applyFill="1" applyBorder="1" applyAlignment="1" applyProtection="1">
      <alignment horizontal="center" vertical="center" wrapText="1"/>
    </xf>
    <xf numFmtId="0" fontId="27" fillId="20" borderId="15" xfId="0" applyFont="1" applyFill="1" applyBorder="1" applyAlignment="1">
      <alignment horizontal="center" vertical="center" wrapText="1"/>
    </xf>
    <xf numFmtId="0" fontId="27" fillId="42" borderId="15" xfId="0" applyFont="1" applyFill="1" applyBorder="1" applyAlignment="1">
      <alignment horizontal="center" vertical="center" wrapText="1"/>
    </xf>
    <xf numFmtId="0" fontId="27" fillId="20" borderId="72" xfId="0" applyFont="1" applyFill="1" applyBorder="1" applyAlignment="1">
      <alignment horizontal="center" vertical="center" wrapText="1"/>
    </xf>
    <xf numFmtId="0" fontId="43" fillId="31" borderId="0" xfId="0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4" fillId="11" borderId="10" xfId="0" applyFont="1" applyFill="1" applyBorder="1" applyAlignment="1">
      <alignment horizontal="center" vertical="center" wrapText="1"/>
    </xf>
    <xf numFmtId="0" fontId="94" fillId="44" borderId="0" xfId="0" applyFont="1" applyFill="1" applyAlignment="1">
      <alignment vertical="center" textRotation="90"/>
    </xf>
    <xf numFmtId="0" fontId="92" fillId="5" borderId="0" xfId="0" applyFont="1" applyFill="1" applyAlignment="1">
      <alignment horizontal="center" vertical="center" wrapText="1"/>
    </xf>
    <xf numFmtId="0" fontId="96" fillId="11" borderId="0" xfId="0" applyFont="1" applyFill="1" applyAlignment="1">
      <alignment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97" fillId="11" borderId="0" xfId="2" applyFont="1" applyFill="1" applyBorder="1" applyAlignment="1">
      <alignment horizontal="center" vertical="center"/>
    </xf>
    <xf numFmtId="0" fontId="98" fillId="11" borderId="0" xfId="0" applyFont="1" applyFill="1" applyAlignment="1" applyProtection="1">
      <alignment horizontal="center" vertical="center" wrapText="1"/>
    </xf>
    <xf numFmtId="0" fontId="54" fillId="5" borderId="0" xfId="0" applyFont="1" applyFill="1" applyBorder="1"/>
    <xf numFmtId="0" fontId="0" fillId="5" borderId="77" xfId="0" applyFill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/>
    </xf>
    <xf numFmtId="0" fontId="0" fillId="11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61" fillId="5" borderId="0" xfId="0" applyFont="1" applyFill="1"/>
    <xf numFmtId="0" fontId="21" fillId="0" borderId="48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ill="1" applyAlignment="1">
      <alignment horizontal="center"/>
    </xf>
    <xf numFmtId="0" fontId="0" fillId="0" borderId="10" xfId="0" applyBorder="1"/>
    <xf numFmtId="0" fontId="0" fillId="12" borderId="9" xfId="0" applyFill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Alignment="1">
      <alignment horizontal="left" vertical="top" wrapText="1"/>
    </xf>
    <xf numFmtId="0" fontId="0" fillId="26" borderId="9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31" fillId="26" borderId="9" xfId="0" applyFont="1" applyFill="1" applyBorder="1" applyAlignment="1">
      <alignment vertical="top" wrapText="1"/>
    </xf>
    <xf numFmtId="0" fontId="3" fillId="12" borderId="10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12" borderId="74" xfId="0" applyFont="1" applyFill="1" applyBorder="1" applyAlignment="1">
      <alignment horizontal="center"/>
    </xf>
    <xf numFmtId="0" fontId="3" fillId="14" borderId="74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3" fillId="23" borderId="9" xfId="0" applyFont="1" applyFill="1" applyBorder="1" applyAlignment="1">
      <alignment horizontal="center"/>
    </xf>
    <xf numFmtId="0" fontId="31" fillId="26" borderId="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79" xfId="0" applyBorder="1" applyAlignment="1">
      <alignment horizontal="center"/>
    </xf>
    <xf numFmtId="0" fontId="9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42" fillId="5" borderId="0" xfId="0" applyFont="1" applyFill="1" applyBorder="1" applyAlignment="1">
      <alignment horizontal="left" vertical="center"/>
    </xf>
    <xf numFmtId="0" fontId="3" fillId="12" borderId="0" xfId="0" applyFont="1" applyFill="1" applyAlignment="1">
      <alignment horizontal="center"/>
    </xf>
    <xf numFmtId="0" fontId="80" fillId="40" borderId="13" xfId="0" applyNumberFormat="1" applyFont="1" applyFill="1" applyBorder="1" applyAlignment="1" applyProtection="1">
      <alignment horizontal="center" vertical="top" wrapText="1"/>
    </xf>
    <xf numFmtId="0" fontId="102" fillId="40" borderId="13" xfId="0" applyNumberFormat="1" applyFont="1" applyFill="1" applyBorder="1" applyAlignment="1" applyProtection="1">
      <alignment horizontal="center" vertical="top" wrapText="1"/>
    </xf>
    <xf numFmtId="0" fontId="91" fillId="8" borderId="46" xfId="0" applyFont="1" applyFill="1" applyBorder="1" applyAlignment="1" applyProtection="1">
      <alignment horizontal="left" vertical="top" wrapText="1"/>
    </xf>
    <xf numFmtId="0" fontId="91" fillId="8" borderId="21" xfId="0" applyFont="1" applyFill="1" applyBorder="1" applyAlignment="1" applyProtection="1">
      <alignment horizontal="left" vertical="top" wrapText="1"/>
    </xf>
    <xf numFmtId="0" fontId="91" fillId="37" borderId="46" xfId="0" applyFont="1" applyFill="1" applyBorder="1" applyAlignment="1" applyProtection="1">
      <alignment horizontal="left" vertical="top" wrapText="1"/>
    </xf>
    <xf numFmtId="0" fontId="91" fillId="37" borderId="21" xfId="0" applyFont="1" applyFill="1" applyBorder="1" applyAlignment="1" applyProtection="1">
      <alignment horizontal="left" vertical="top" wrapText="1"/>
    </xf>
    <xf numFmtId="0" fontId="91" fillId="35" borderId="47" xfId="0" applyFont="1" applyFill="1" applyBorder="1" applyAlignment="1" applyProtection="1">
      <alignment horizontal="left" vertical="top" wrapText="1"/>
    </xf>
    <xf numFmtId="0" fontId="91" fillId="35" borderId="21" xfId="0" applyFont="1" applyFill="1" applyBorder="1" applyAlignment="1" applyProtection="1">
      <alignment horizontal="left" vertical="top" wrapText="1"/>
    </xf>
    <xf numFmtId="0" fontId="91" fillId="39" borderId="47" xfId="0" applyFont="1" applyFill="1" applyBorder="1" applyAlignment="1" applyProtection="1">
      <alignment horizontal="left" vertical="top" wrapText="1"/>
    </xf>
    <xf numFmtId="0" fontId="91" fillId="39" borderId="23" xfId="0" applyFont="1" applyFill="1" applyBorder="1" applyAlignment="1" applyProtection="1">
      <alignment horizontal="left" vertical="top" wrapText="1"/>
    </xf>
    <xf numFmtId="49" fontId="21" fillId="31" borderId="26" xfId="0" applyNumberFormat="1" applyFont="1" applyFill="1" applyBorder="1" applyAlignment="1" applyProtection="1">
      <alignment vertical="top" wrapText="1"/>
      <protection locked="0"/>
    </xf>
    <xf numFmtId="0" fontId="80" fillId="35" borderId="3" xfId="0" applyNumberFormat="1" applyFont="1" applyFill="1" applyBorder="1" applyAlignment="1" applyProtection="1">
      <alignment horizontal="center" vertical="top" wrapText="1"/>
    </xf>
    <xf numFmtId="0" fontId="3" fillId="16" borderId="0" xfId="0" applyFont="1" applyFill="1"/>
    <xf numFmtId="0" fontId="3" fillId="44" borderId="0" xfId="0" applyFont="1" applyFill="1"/>
    <xf numFmtId="0" fontId="103" fillId="0" borderId="9" xfId="0" applyFont="1" applyBorder="1"/>
    <xf numFmtId="0" fontId="3" fillId="13" borderId="0" xfId="0" applyFont="1" applyFill="1"/>
    <xf numFmtId="0" fontId="3" fillId="32" borderId="49" xfId="0" applyFont="1" applyFill="1" applyBorder="1" applyAlignment="1">
      <alignment horizontal="left" vertical="center" wrapText="1"/>
    </xf>
    <xf numFmtId="0" fontId="3" fillId="32" borderId="50" xfId="0" applyFont="1" applyFill="1" applyBorder="1" applyAlignment="1">
      <alignment horizontal="left" vertical="center" wrapText="1"/>
    </xf>
    <xf numFmtId="0" fontId="105" fillId="45" borderId="0" xfId="0" applyFont="1" applyFill="1"/>
    <xf numFmtId="0" fontId="30" fillId="45" borderId="0" xfId="0" applyFont="1" applyFill="1"/>
    <xf numFmtId="0" fontId="30" fillId="45" borderId="0" xfId="0" applyFont="1" applyFill="1" applyAlignment="1">
      <alignment horizontal="center"/>
    </xf>
    <xf numFmtId="0" fontId="0" fillId="45" borderId="0" xfId="0" applyFill="1"/>
    <xf numFmtId="0" fontId="105" fillId="9" borderId="0" xfId="0" applyFont="1" applyFill="1"/>
    <xf numFmtId="0" fontId="30" fillId="9" borderId="0" xfId="0" applyFont="1" applyFill="1"/>
    <xf numFmtId="0" fontId="30" fillId="9" borderId="0" xfId="0" applyFont="1" applyFill="1" applyAlignment="1">
      <alignment horizontal="center"/>
    </xf>
    <xf numFmtId="0" fontId="0" fillId="9" borderId="0" xfId="0" applyFill="1"/>
    <xf numFmtId="0" fontId="30" fillId="46" borderId="0" xfId="0" applyFont="1" applyFill="1"/>
    <xf numFmtId="0" fontId="30" fillId="46" borderId="0" xfId="0" applyFont="1" applyFill="1" applyAlignment="1">
      <alignment horizontal="center"/>
    </xf>
    <xf numFmtId="0" fontId="0" fillId="46" borderId="0" xfId="0" applyFill="1"/>
    <xf numFmtId="0" fontId="105" fillId="47" borderId="0" xfId="0" applyFont="1" applyFill="1"/>
    <xf numFmtId="0" fontId="30" fillId="47" borderId="0" xfId="0" applyFont="1" applyFill="1"/>
    <xf numFmtId="0" fontId="30" fillId="47" borderId="0" xfId="0" applyFont="1" applyFill="1" applyAlignment="1">
      <alignment horizontal="center"/>
    </xf>
    <xf numFmtId="0" fontId="0" fillId="47" borderId="0" xfId="0" applyFill="1"/>
    <xf numFmtId="0" fontId="32" fillId="16" borderId="19" xfId="0" applyNumberFormat="1" applyFont="1" applyFill="1" applyBorder="1" applyAlignment="1">
      <alignment vertical="top" wrapText="1"/>
    </xf>
    <xf numFmtId="0" fontId="0" fillId="13" borderId="10" xfId="0" applyFill="1" applyBorder="1" applyAlignment="1">
      <alignment horizontal="center"/>
    </xf>
    <xf numFmtId="0" fontId="105" fillId="9" borderId="0" xfId="0" applyFont="1" applyFill="1" applyBorder="1"/>
    <xf numFmtId="0" fontId="30" fillId="9" borderId="5" xfId="0" applyFont="1" applyFill="1" applyBorder="1"/>
    <xf numFmtId="0" fontId="3" fillId="11" borderId="0" xfId="0" applyFont="1" applyFill="1" applyBorder="1"/>
    <xf numFmtId="0" fontId="0" fillId="11" borderId="5" xfId="0" applyFill="1" applyBorder="1"/>
    <xf numFmtId="0" fontId="0" fillId="0" borderId="5" xfId="0" applyFill="1" applyBorder="1"/>
    <xf numFmtId="0" fontId="0" fillId="0" borderId="0" xfId="0" applyBorder="1"/>
    <xf numFmtId="0" fontId="0" fillId="0" borderId="5" xfId="0" applyBorder="1"/>
    <xf numFmtId="0" fontId="3" fillId="12" borderId="0" xfId="0" applyFont="1" applyFill="1" applyBorder="1"/>
    <xf numFmtId="0" fontId="0" fillId="12" borderId="5" xfId="0" applyFill="1" applyBorder="1"/>
    <xf numFmtId="0" fontId="105" fillId="45" borderId="0" xfId="0" applyFont="1" applyFill="1" applyBorder="1"/>
    <xf numFmtId="0" fontId="30" fillId="45" borderId="5" xfId="0" applyFont="1" applyFill="1" applyBorder="1"/>
    <xf numFmtId="0" fontId="105" fillId="46" borderId="0" xfId="0" applyFont="1" applyFill="1" applyBorder="1"/>
    <xf numFmtId="0" fontId="30" fillId="46" borderId="5" xfId="0" applyFont="1" applyFill="1" applyBorder="1"/>
    <xf numFmtId="0" fontId="105" fillId="47" borderId="0" xfId="0" applyFont="1" applyFill="1" applyBorder="1"/>
    <xf numFmtId="0" fontId="30" fillId="47" borderId="5" xfId="0" applyFont="1" applyFill="1" applyBorder="1"/>
    <xf numFmtId="0" fontId="32" fillId="16" borderId="9" xfId="0" applyNumberFormat="1" applyFont="1" applyFill="1" applyBorder="1" applyAlignment="1">
      <alignment vertical="top" wrapText="1"/>
    </xf>
    <xf numFmtId="0" fontId="105" fillId="48" borderId="0" xfId="0" applyFont="1" applyFill="1"/>
    <xf numFmtId="0" fontId="30" fillId="48" borderId="0" xfId="0" applyFont="1" applyFill="1"/>
    <xf numFmtId="0" fontId="30" fillId="48" borderId="0" xfId="0" applyFont="1" applyFill="1" applyAlignment="1">
      <alignment horizontal="center"/>
    </xf>
    <xf numFmtId="0" fontId="0" fillId="48" borderId="0" xfId="0" applyFill="1"/>
    <xf numFmtId="0" fontId="106" fillId="5" borderId="0" xfId="0" applyFont="1" applyFill="1" applyAlignment="1">
      <alignment vertical="center"/>
    </xf>
    <xf numFmtId="0" fontId="73" fillId="32" borderId="55" xfId="0" applyFont="1" applyFill="1" applyBorder="1" applyAlignment="1">
      <alignment horizontal="center" vertical="center" wrapText="1"/>
    </xf>
    <xf numFmtId="0" fontId="7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80" fillId="8" borderId="45" xfId="0" applyNumberFormat="1" applyFont="1" applyFill="1" applyBorder="1" applyAlignment="1" applyProtection="1">
      <alignment horizontal="right" vertical="top" wrapText="1"/>
    </xf>
    <xf numFmtId="0" fontId="5" fillId="49" borderId="15" xfId="0" applyFont="1" applyFill="1" applyBorder="1" applyAlignment="1">
      <alignment horizontal="center" vertical="center" wrapText="1"/>
    </xf>
    <xf numFmtId="49" fontId="15" fillId="50" borderId="17" xfId="0" applyNumberFormat="1" applyFont="1" applyFill="1" applyBorder="1" applyAlignment="1" applyProtection="1">
      <alignment horizontal="center" vertical="center" wrapText="1"/>
      <protection locked="0"/>
    </xf>
    <xf numFmtId="49" fontId="80" fillId="51" borderId="13" xfId="0" applyNumberFormat="1" applyFont="1" applyFill="1" applyBorder="1" applyAlignment="1" applyProtection="1">
      <alignment horizontal="center" vertical="top" wrapText="1"/>
    </xf>
    <xf numFmtId="0" fontId="78" fillId="51" borderId="18" xfId="0" applyFont="1" applyFill="1" applyBorder="1" applyAlignment="1" applyProtection="1">
      <alignment horizontal="center" vertical="center" wrapText="1"/>
    </xf>
    <xf numFmtId="49" fontId="80" fillId="52" borderId="13" xfId="0" applyNumberFormat="1" applyFont="1" applyFill="1" applyBorder="1" applyAlignment="1" applyProtection="1">
      <alignment horizontal="center" vertical="top" wrapText="1"/>
    </xf>
    <xf numFmtId="0" fontId="78" fillId="52" borderId="18" xfId="0" applyFont="1" applyFill="1" applyBorder="1" applyAlignment="1" applyProtection="1">
      <alignment horizontal="center" vertical="center" wrapText="1"/>
    </xf>
    <xf numFmtId="49" fontId="80" fillId="53" borderId="3" xfId="0" applyNumberFormat="1" applyFont="1" applyFill="1" applyBorder="1" applyAlignment="1" applyProtection="1">
      <alignment horizontal="center" vertical="top" wrapText="1"/>
    </xf>
    <xf numFmtId="0" fontId="78" fillId="53" borderId="18" xfId="0" applyFont="1" applyFill="1" applyBorder="1" applyAlignment="1" applyProtection="1">
      <alignment horizontal="center" vertical="center" wrapText="1"/>
    </xf>
    <xf numFmtId="49" fontId="80" fillId="54" borderId="13" xfId="0" applyNumberFormat="1" applyFont="1" applyFill="1" applyBorder="1" applyAlignment="1" applyProtection="1">
      <alignment horizontal="center" vertical="top" wrapText="1"/>
    </xf>
    <xf numFmtId="0" fontId="78" fillId="54" borderId="18" xfId="0" applyFont="1" applyFill="1" applyBorder="1" applyAlignment="1" applyProtection="1">
      <alignment horizontal="center" vertical="center" wrapText="1"/>
    </xf>
    <xf numFmtId="0" fontId="109" fillId="11" borderId="0" xfId="0" applyFont="1" applyFill="1" applyAlignment="1">
      <alignment horizontal="center" vertical="center" wrapText="1"/>
    </xf>
    <xf numFmtId="0" fontId="110" fillId="11" borderId="0" xfId="0" applyFont="1" applyFill="1" applyAlignment="1">
      <alignment horizontal="right" vertical="center" wrapText="1"/>
    </xf>
    <xf numFmtId="0" fontId="111" fillId="11" borderId="0" xfId="0" applyFont="1" applyFill="1" applyAlignment="1">
      <alignment horizontal="center" vertical="center" wrapText="1"/>
    </xf>
    <xf numFmtId="0" fontId="113" fillId="18" borderId="2" xfId="0" applyFont="1" applyFill="1" applyBorder="1" applyAlignment="1">
      <alignment vertical="center" wrapText="1"/>
    </xf>
    <xf numFmtId="0" fontId="114" fillId="18" borderId="2" xfId="0" applyFont="1" applyFill="1" applyBorder="1"/>
    <xf numFmtId="0" fontId="115" fillId="18" borderId="3" xfId="0" applyFont="1" applyFill="1" applyBorder="1"/>
    <xf numFmtId="0" fontId="113" fillId="18" borderId="0" xfId="0" applyFont="1" applyFill="1" applyBorder="1" applyAlignment="1">
      <alignment vertical="center" wrapText="1"/>
    </xf>
    <xf numFmtId="0" fontId="114" fillId="18" borderId="0" xfId="0" applyFont="1" applyFill="1" applyBorder="1"/>
    <xf numFmtId="0" fontId="114" fillId="18" borderId="5" xfId="0" applyFont="1" applyFill="1" applyBorder="1"/>
    <xf numFmtId="0" fontId="116" fillId="11" borderId="0" xfId="0" applyFont="1" applyFill="1" applyAlignment="1">
      <alignment horizontal="center" vertical="center" wrapText="1"/>
    </xf>
    <xf numFmtId="49" fontId="39" fillId="13" borderId="9" xfId="0" applyNumberFormat="1" applyFont="1" applyFill="1" applyBorder="1" applyAlignment="1">
      <alignment horizontal="center" vertical="center" wrapText="1"/>
    </xf>
    <xf numFmtId="0" fontId="0" fillId="22" borderId="9" xfId="0" applyFont="1" applyFill="1" applyBorder="1" applyAlignment="1">
      <alignment horizontal="center" vertical="center"/>
    </xf>
    <xf numFmtId="0" fontId="24" fillId="22" borderId="9" xfId="0" applyFont="1" applyFill="1" applyBorder="1" applyAlignment="1" applyProtection="1">
      <alignment horizontal="center" vertical="center"/>
    </xf>
    <xf numFmtId="0" fontId="0" fillId="22" borderId="9" xfId="0" applyFont="1" applyFill="1" applyBorder="1" applyAlignment="1" applyProtection="1">
      <alignment horizontal="center" vertical="center"/>
    </xf>
    <xf numFmtId="0" fontId="80" fillId="39" borderId="13" xfId="0" applyNumberFormat="1" applyFont="1" applyFill="1" applyBorder="1" applyAlignment="1" applyProtection="1">
      <alignment horizontal="center" vertical="top" wrapText="1"/>
    </xf>
    <xf numFmtId="0" fontId="0" fillId="13" borderId="9" xfId="0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99" fillId="10" borderId="0" xfId="0" applyFont="1" applyFill="1" applyAlignment="1">
      <alignment horizontal="left" vertical="center"/>
    </xf>
    <xf numFmtId="0" fontId="0" fillId="0" borderId="9" xfId="0" applyBorder="1" applyAlignment="1">
      <alignment horizontal="center" wrapText="1"/>
    </xf>
    <xf numFmtId="49" fontId="14" fillId="15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15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15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38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38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38" borderId="2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9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93" fillId="43" borderId="0" xfId="0" applyFont="1" applyFill="1" applyAlignment="1">
      <alignment horizontal="center" vertical="center"/>
    </xf>
    <xf numFmtId="0" fontId="95" fillId="43" borderId="76" xfId="0" applyFont="1" applyFill="1" applyBorder="1" applyAlignment="1">
      <alignment horizontal="center" vertical="center" textRotation="90"/>
    </xf>
    <xf numFmtId="0" fontId="35" fillId="10" borderId="6" xfId="0" applyFont="1" applyFill="1" applyBorder="1" applyAlignment="1">
      <alignment horizontal="right" vertical="center"/>
    </xf>
    <xf numFmtId="0" fontId="35" fillId="10" borderId="7" xfId="0" applyFont="1" applyFill="1" applyBorder="1" applyAlignment="1">
      <alignment horizontal="right" vertical="center"/>
    </xf>
    <xf numFmtId="0" fontId="35" fillId="10" borderId="8" xfId="0" applyFont="1" applyFill="1" applyBorder="1" applyAlignment="1">
      <alignment horizontal="right" vertical="center"/>
    </xf>
    <xf numFmtId="0" fontId="35" fillId="10" borderId="30" xfId="0" applyFont="1" applyFill="1" applyBorder="1" applyAlignment="1">
      <alignment horizontal="right" vertical="center"/>
    </xf>
    <xf numFmtId="0" fontId="35" fillId="10" borderId="31" xfId="0" applyFont="1" applyFill="1" applyBorder="1" applyAlignment="1">
      <alignment horizontal="right" vertical="center"/>
    </xf>
    <xf numFmtId="0" fontId="35" fillId="10" borderId="10" xfId="0" applyFont="1" applyFill="1" applyBorder="1" applyAlignment="1">
      <alignment horizontal="right" vertical="center"/>
    </xf>
    <xf numFmtId="0" fontId="35" fillId="10" borderId="30" xfId="0" applyFont="1" applyFill="1" applyBorder="1" applyAlignment="1" applyProtection="1">
      <alignment horizontal="right" vertical="center"/>
    </xf>
    <xf numFmtId="0" fontId="35" fillId="10" borderId="31" xfId="0" applyFont="1" applyFill="1" applyBorder="1" applyAlignment="1" applyProtection="1">
      <alignment horizontal="right" vertical="center"/>
    </xf>
    <xf numFmtId="0" fontId="35" fillId="10" borderId="10" xfId="0" applyFont="1" applyFill="1" applyBorder="1" applyAlignment="1" applyProtection="1">
      <alignment horizontal="right" vertical="center"/>
    </xf>
    <xf numFmtId="0" fontId="39" fillId="0" borderId="9" xfId="0" applyFont="1" applyBorder="1" applyAlignment="1" applyProtection="1">
      <alignment horizontal="center" vertical="center"/>
      <protection locked="0"/>
    </xf>
    <xf numFmtId="0" fontId="42" fillId="31" borderId="0" xfId="0" applyFont="1" applyFill="1" applyBorder="1" applyAlignment="1">
      <alignment horizontal="left" vertical="top" wrapText="1"/>
    </xf>
    <xf numFmtId="0" fontId="42" fillId="31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left" vertical="center"/>
    </xf>
    <xf numFmtId="0" fontId="40" fillId="11" borderId="30" xfId="0" applyFont="1" applyFill="1" applyBorder="1" applyAlignment="1" applyProtection="1">
      <alignment horizontal="center" vertical="center"/>
    </xf>
    <xf numFmtId="0" fontId="40" fillId="11" borderId="31" xfId="0" applyFont="1" applyFill="1" applyBorder="1" applyAlignment="1" applyProtection="1">
      <alignment horizontal="center" vertical="center"/>
    </xf>
    <xf numFmtId="0" fontId="40" fillId="11" borderId="10" xfId="0" applyFont="1" applyFill="1" applyBorder="1" applyAlignment="1" applyProtection="1">
      <alignment horizontal="center" vertical="center"/>
    </xf>
    <xf numFmtId="0" fontId="40" fillId="11" borderId="30" xfId="0" applyFont="1" applyFill="1" applyBorder="1" applyAlignment="1">
      <alignment horizontal="center" vertical="center"/>
    </xf>
    <xf numFmtId="0" fontId="40" fillId="11" borderId="31" xfId="0" applyFont="1" applyFill="1" applyBorder="1" applyAlignment="1">
      <alignment horizontal="center" vertical="center"/>
    </xf>
    <xf numFmtId="0" fontId="40" fillId="11" borderId="10" xfId="0" applyFont="1" applyFill="1" applyBorder="1" applyAlignment="1">
      <alignment horizontal="center" vertical="center"/>
    </xf>
    <xf numFmtId="0" fontId="112" fillId="18" borderId="1" xfId="0" applyFont="1" applyFill="1" applyBorder="1" applyAlignment="1">
      <alignment horizontal="center" vertical="center" wrapText="1"/>
    </xf>
    <xf numFmtId="0" fontId="112" fillId="18" borderId="2" xfId="0" applyFont="1" applyFill="1" applyBorder="1" applyAlignment="1">
      <alignment horizontal="center" vertical="center" wrapText="1"/>
    </xf>
    <xf numFmtId="0" fontId="112" fillId="18" borderId="4" xfId="0" applyFont="1" applyFill="1" applyBorder="1" applyAlignment="1">
      <alignment horizontal="center" vertical="center" wrapText="1"/>
    </xf>
    <xf numFmtId="0" fontId="112" fillId="18" borderId="0" xfId="0" applyFont="1" applyFill="1" applyBorder="1" applyAlignment="1">
      <alignment horizontal="center" vertical="center" wrapText="1"/>
    </xf>
    <xf numFmtId="0" fontId="112" fillId="18" borderId="6" xfId="0" applyFont="1" applyFill="1" applyBorder="1" applyAlignment="1">
      <alignment horizontal="center" vertical="center" wrapText="1"/>
    </xf>
    <xf numFmtId="0" fontId="112" fillId="18" borderId="7" xfId="0" applyFont="1" applyFill="1" applyBorder="1" applyAlignment="1">
      <alignment horizontal="center" vertical="center" wrapText="1"/>
    </xf>
    <xf numFmtId="0" fontId="115" fillId="18" borderId="7" xfId="0" applyFont="1" applyFill="1" applyBorder="1" applyAlignment="1">
      <alignment horizontal="center"/>
    </xf>
    <xf numFmtId="0" fontId="115" fillId="18" borderId="8" xfId="0" applyFont="1" applyFill="1" applyBorder="1" applyAlignment="1">
      <alignment horizontal="center"/>
    </xf>
    <xf numFmtId="0" fontId="3" fillId="32" borderId="63" xfId="0" applyFont="1" applyFill="1" applyBorder="1" applyAlignment="1">
      <alignment horizontal="left" vertical="center" wrapText="1"/>
    </xf>
    <xf numFmtId="0" fontId="3" fillId="32" borderId="56" xfId="0" applyFont="1" applyFill="1" applyBorder="1" applyAlignment="1">
      <alignment horizontal="left" vertical="center" wrapText="1"/>
    </xf>
    <xf numFmtId="0" fontId="117" fillId="11" borderId="0" xfId="0" applyFont="1" applyFill="1" applyAlignment="1">
      <alignment horizontal="center" vertical="center" wrapText="1"/>
    </xf>
    <xf numFmtId="0" fontId="57" fillId="32" borderId="0" xfId="2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34" borderId="7" xfId="0" applyFont="1" applyFill="1" applyBorder="1" applyAlignment="1">
      <alignment horizontal="center" vertical="center" wrapText="1"/>
    </xf>
    <xf numFmtId="0" fontId="3" fillId="20" borderId="7" xfId="0" applyFont="1" applyFill="1" applyBorder="1" applyAlignment="1">
      <alignment horizontal="center" vertical="center" wrapText="1"/>
    </xf>
    <xf numFmtId="0" fontId="3" fillId="22" borderId="7" xfId="0" applyFont="1" applyFill="1" applyBorder="1" applyAlignment="1">
      <alignment horizontal="center" vertical="center" wrapText="1"/>
    </xf>
    <xf numFmtId="0" fontId="3" fillId="37" borderId="7" xfId="0" applyFont="1" applyFill="1" applyBorder="1" applyAlignment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33" borderId="7" xfId="0" applyFont="1" applyFill="1" applyBorder="1" applyAlignment="1">
      <alignment horizontal="center" vertical="center" wrapText="1"/>
    </xf>
    <xf numFmtId="0" fontId="3" fillId="41" borderId="0" xfId="0" applyFont="1" applyFill="1" applyAlignment="1">
      <alignment horizontal="center" vertical="center" wrapText="1"/>
    </xf>
    <xf numFmtId="0" fontId="3" fillId="36" borderId="0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 applyProtection="1">
      <alignment horizontal="center" vertical="center"/>
    </xf>
    <xf numFmtId="0" fontId="8" fillId="9" borderId="33" xfId="0" applyFont="1" applyFill="1" applyBorder="1" applyAlignment="1" applyProtection="1">
      <alignment horizontal="center" vertical="center"/>
    </xf>
    <xf numFmtId="0" fontId="8" fillId="9" borderId="34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15" borderId="20" xfId="0" applyFont="1" applyFill="1" applyBorder="1" applyAlignment="1" applyProtection="1">
      <alignment horizontal="center" vertical="center"/>
    </xf>
    <xf numFmtId="0" fontId="8" fillId="15" borderId="33" xfId="0" applyFont="1" applyFill="1" applyBorder="1" applyAlignment="1" applyProtection="1">
      <alignment horizontal="center" vertical="center"/>
    </xf>
    <xf numFmtId="0" fontId="8" fillId="15" borderId="34" xfId="0" applyFont="1" applyFill="1" applyBorder="1" applyAlignment="1" applyProtection="1">
      <alignment horizontal="center" vertical="center"/>
    </xf>
    <xf numFmtId="0" fontId="8" fillId="38" borderId="20" xfId="0" applyFont="1" applyFill="1" applyBorder="1" applyAlignment="1" applyProtection="1">
      <alignment horizontal="center" vertical="center"/>
    </xf>
    <xf numFmtId="0" fontId="8" fillId="38" borderId="33" xfId="0" applyFont="1" applyFill="1" applyBorder="1" applyAlignment="1" applyProtection="1">
      <alignment horizontal="center" vertical="center"/>
    </xf>
    <xf numFmtId="0" fontId="8" fillId="38" borderId="34" xfId="0" applyFont="1" applyFill="1" applyBorder="1" applyAlignment="1" applyProtection="1">
      <alignment horizontal="center" vertical="center"/>
    </xf>
    <xf numFmtId="0" fontId="96" fillId="11" borderId="0" xfId="0" applyFont="1" applyFill="1" applyAlignment="1" applyProtection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104" fillId="44" borderId="9" xfId="0" applyFont="1" applyFill="1" applyBorder="1" applyAlignment="1">
      <alignment horizontal="left" vertical="top" wrapText="1"/>
    </xf>
    <xf numFmtId="0" fontId="3" fillId="23" borderId="30" xfId="0" applyFont="1" applyFill="1" applyBorder="1" applyAlignment="1">
      <alignment horizontal="center" vertical="center"/>
    </xf>
    <xf numFmtId="0" fontId="3" fillId="23" borderId="10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wrapText="1"/>
    </xf>
    <xf numFmtId="0" fontId="3" fillId="12" borderId="0" xfId="0" applyFont="1" applyFill="1" applyAlignment="1">
      <alignment horizontal="center"/>
    </xf>
    <xf numFmtId="0" fontId="3" fillId="23" borderId="9" xfId="0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left" vertical="top" wrapText="1"/>
    </xf>
    <xf numFmtId="0" fontId="3" fillId="23" borderId="7" xfId="0" applyFont="1" applyFill="1" applyBorder="1" applyAlignment="1">
      <alignment horizontal="center"/>
    </xf>
    <xf numFmtId="0" fontId="3" fillId="23" borderId="8" xfId="0" applyFont="1" applyFill="1" applyBorder="1" applyAlignment="1">
      <alignment horizontal="center"/>
    </xf>
    <xf numFmtId="0" fontId="3" fillId="23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9" fillId="4" borderId="30" xfId="0" applyNumberFormat="1" applyFont="1" applyFill="1" applyBorder="1" applyAlignment="1">
      <alignment horizontal="left" vertical="top" wrapText="1"/>
    </xf>
    <xf numFmtId="0" fontId="9" fillId="4" borderId="10" xfId="0" applyNumberFormat="1" applyFont="1" applyFill="1" applyBorder="1" applyAlignment="1">
      <alignment horizontal="left" vertical="top" wrapText="1"/>
    </xf>
    <xf numFmtId="0" fontId="9" fillId="3" borderId="9" xfId="0" applyNumberFormat="1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 vertical="top" wrapText="1"/>
    </xf>
    <xf numFmtId="0" fontId="31" fillId="6" borderId="3" xfId="0" applyFont="1" applyFill="1" applyBorder="1" applyAlignment="1">
      <alignment horizontal="left" vertical="top" wrapText="1"/>
    </xf>
    <xf numFmtId="0" fontId="31" fillId="6" borderId="6" xfId="0" applyFont="1" applyFill="1" applyBorder="1" applyAlignment="1">
      <alignment horizontal="left" vertical="top" wrapText="1"/>
    </xf>
    <xf numFmtId="0" fontId="31" fillId="6" borderId="8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 vertical="center" wrapText="1"/>
    </xf>
    <xf numFmtId="0" fontId="31" fillId="6" borderId="3" xfId="0" applyFont="1" applyFill="1" applyBorder="1" applyAlignment="1">
      <alignment horizontal="left" vertical="center" wrapText="1"/>
    </xf>
    <xf numFmtId="0" fontId="31" fillId="6" borderId="6" xfId="0" applyFont="1" applyFill="1" applyBorder="1" applyAlignment="1">
      <alignment horizontal="left" vertical="center" wrapText="1"/>
    </xf>
    <xf numFmtId="0" fontId="31" fillId="6" borderId="8" xfId="0" applyFont="1" applyFill="1" applyBorder="1" applyAlignment="1">
      <alignment horizontal="left" vertical="center" wrapText="1"/>
    </xf>
    <xf numFmtId="0" fontId="9" fillId="4" borderId="9" xfId="0" applyNumberFormat="1" applyFont="1" applyFill="1" applyBorder="1" applyAlignment="1">
      <alignment horizontal="center" vertical="top" wrapText="1"/>
    </xf>
    <xf numFmtId="0" fontId="32" fillId="16" borderId="9" xfId="0" applyNumberFormat="1" applyFont="1" applyFill="1" applyBorder="1" applyAlignment="1">
      <alignment horizontal="left" vertical="top" wrapText="1"/>
    </xf>
    <xf numFmtId="0" fontId="32" fillId="7" borderId="33" xfId="0" applyNumberFormat="1" applyFont="1" applyFill="1" applyBorder="1" applyAlignment="1">
      <alignment horizontal="left" vertical="top" wrapText="1"/>
    </xf>
    <xf numFmtId="0" fontId="32" fillId="7" borderId="5" xfId="0" applyNumberFormat="1" applyFont="1" applyFill="1" applyBorder="1" applyAlignment="1">
      <alignment horizontal="left" vertical="top" wrapText="1"/>
    </xf>
  </cellXfs>
  <cellStyles count="5">
    <cellStyle name="Collegamento ipertestuale" xfId="2" builtinId="8"/>
    <cellStyle name="Hyperlink" xfId="4"/>
    <cellStyle name="Normale" xfId="0" builtinId="0"/>
    <cellStyle name="Normale 2" xfId="1"/>
    <cellStyle name="Percentuale" xfId="3" builtinId="5"/>
  </cellStyles>
  <dxfs count="7">
    <dxf>
      <font>
        <color rgb="FF9C0006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EEB4B4"/>
      <color rgb="FFFFFF99"/>
      <color rgb="FFCC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715106</xdr:colOff>
      <xdr:row>6</xdr:row>
      <xdr:rowOff>59834</xdr:rowOff>
    </xdr:from>
    <xdr:to>
      <xdr:col>4</xdr:col>
      <xdr:colOff>1277958</xdr:colOff>
      <xdr:row>6</xdr:row>
      <xdr:rowOff>1306285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  <a:ext uri="{147F2762-F138-4A5C-976F-8EAC2B608ADB}">
              <a16:predDERef xmlns=""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057"/>
        <a:stretch/>
      </xdr:blipFill>
      <xdr:spPr>
        <a:xfrm>
          <a:off x="5586463" y="4060334"/>
          <a:ext cx="2195709" cy="1246451"/>
        </a:xfrm>
        <a:prstGeom prst="rect">
          <a:avLst/>
        </a:prstGeom>
      </xdr:spPr>
    </xdr:pic>
    <xdr:clientData/>
  </xdr:twoCellAnchor>
  <xdr:twoCellAnchor editAs="oneCell">
    <xdr:from>
      <xdr:col>3</xdr:col>
      <xdr:colOff>343318</xdr:colOff>
      <xdr:row>9</xdr:row>
      <xdr:rowOff>130326</xdr:rowOff>
    </xdr:from>
    <xdr:to>
      <xdr:col>4</xdr:col>
      <xdr:colOff>1504139</xdr:colOff>
      <xdr:row>9</xdr:row>
      <xdr:rowOff>1241390</xdr:rowOff>
    </xdr:to>
    <xdr:pic>
      <xdr:nvPicPr>
        <xdr:cNvPr id="28" name="Immagine 6">
          <a:extLst>
            <a:ext uri="{FF2B5EF4-FFF2-40B4-BE49-F238E27FC236}">
              <a16:creationId xmlns="" xmlns:a16="http://schemas.microsoft.com/office/drawing/2014/main" id="{00000000-0008-0000-0000-00001C000000}"/>
            </a:ext>
            <a:ext uri="{147F2762-F138-4A5C-976F-8EAC2B608ADB}">
              <a16:predDERef xmlns=""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83"/>
        <a:stretch/>
      </xdr:blipFill>
      <xdr:spPr>
        <a:xfrm>
          <a:off x="5214675" y="6607326"/>
          <a:ext cx="2793678" cy="1111064"/>
        </a:xfrm>
        <a:prstGeom prst="rect">
          <a:avLst/>
        </a:prstGeom>
      </xdr:spPr>
    </xdr:pic>
    <xdr:clientData/>
  </xdr:twoCellAnchor>
  <xdr:twoCellAnchor editAs="oneCell">
    <xdr:from>
      <xdr:col>3</xdr:col>
      <xdr:colOff>1034143</xdr:colOff>
      <xdr:row>8</xdr:row>
      <xdr:rowOff>23798</xdr:rowOff>
    </xdr:from>
    <xdr:to>
      <xdr:col>4</xdr:col>
      <xdr:colOff>830036</xdr:colOff>
      <xdr:row>8</xdr:row>
      <xdr:rowOff>1336222</xdr:rowOff>
    </xdr:to>
    <xdr:pic>
      <xdr:nvPicPr>
        <xdr:cNvPr id="35" name="Immagine 7">
          <a:extLst>
            <a:ext uri="{FF2B5EF4-FFF2-40B4-BE49-F238E27FC236}">
              <a16:creationId xmlns="" xmlns:a16="http://schemas.microsoft.com/office/drawing/2014/main" id="{00000000-0008-0000-0000-000023000000}"/>
            </a:ext>
            <a:ext uri="{147F2762-F138-4A5C-976F-8EAC2B608ADB}">
              <a16:predDERef xmlns=""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0" y="5126477"/>
          <a:ext cx="1428750" cy="1312424"/>
        </a:xfrm>
        <a:prstGeom prst="rect">
          <a:avLst/>
        </a:prstGeom>
      </xdr:spPr>
    </xdr:pic>
    <xdr:clientData/>
  </xdr:twoCellAnchor>
  <xdr:oneCellAnchor>
    <xdr:from>
      <xdr:col>2</xdr:col>
      <xdr:colOff>174761</xdr:colOff>
      <xdr:row>0</xdr:row>
      <xdr:rowOff>59220</xdr:rowOff>
    </xdr:from>
    <xdr:ext cx="889964" cy="421171"/>
    <xdr:pic>
      <xdr:nvPicPr>
        <xdr:cNvPr id="12" name="Immagine 11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000-00000C000000}"/>
            </a:ext>
            <a:ext uri="{147F2762-F138-4A5C-976F-8EAC2B608ADB}">
              <a16:predDERef xmlns="" xmlns:a16="http://schemas.microsoft.com/office/drawing/2014/main" pre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44" y="59220"/>
          <a:ext cx="889964" cy="42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33130</xdr:colOff>
      <xdr:row>4</xdr:row>
      <xdr:rowOff>43774</xdr:rowOff>
    </xdr:from>
    <xdr:to>
      <xdr:col>4</xdr:col>
      <xdr:colOff>1714501</xdr:colOff>
      <xdr:row>4</xdr:row>
      <xdr:rowOff>1341783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087"/>
        <a:stretch/>
      </xdr:blipFill>
      <xdr:spPr>
        <a:xfrm>
          <a:off x="4919869" y="1062535"/>
          <a:ext cx="3321328" cy="1298009"/>
        </a:xfrm>
        <a:prstGeom prst="rect">
          <a:avLst/>
        </a:prstGeom>
      </xdr:spPr>
    </xdr:pic>
    <xdr:clientData/>
  </xdr:twoCellAnchor>
  <xdr:twoCellAnchor editAs="oneCell">
    <xdr:from>
      <xdr:col>3</xdr:col>
      <xdr:colOff>107674</xdr:colOff>
      <xdr:row>5</xdr:row>
      <xdr:rowOff>33130</xdr:rowOff>
    </xdr:from>
    <xdr:to>
      <xdr:col>3</xdr:col>
      <xdr:colOff>461861</xdr:colOff>
      <xdr:row>5</xdr:row>
      <xdr:rowOff>1342689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4413" y="2410239"/>
          <a:ext cx="354187" cy="1309559"/>
        </a:xfrm>
        <a:prstGeom prst="rect">
          <a:avLst/>
        </a:prstGeom>
      </xdr:spPr>
    </xdr:pic>
    <xdr:clientData/>
  </xdr:twoCellAnchor>
  <xdr:twoCellAnchor editAs="oneCell">
    <xdr:from>
      <xdr:col>3</xdr:col>
      <xdr:colOff>488674</xdr:colOff>
      <xdr:row>5</xdr:row>
      <xdr:rowOff>24848</xdr:rowOff>
    </xdr:from>
    <xdr:to>
      <xdr:col>3</xdr:col>
      <xdr:colOff>1305129</xdr:colOff>
      <xdr:row>5</xdr:row>
      <xdr:rowOff>1345172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75413" y="2401957"/>
          <a:ext cx="816455" cy="1320324"/>
        </a:xfrm>
        <a:prstGeom prst="rect">
          <a:avLst/>
        </a:prstGeom>
      </xdr:spPr>
    </xdr:pic>
    <xdr:clientData/>
  </xdr:twoCellAnchor>
  <xdr:twoCellAnchor editAs="oneCell">
    <xdr:from>
      <xdr:col>3</xdr:col>
      <xdr:colOff>1325217</xdr:colOff>
      <xdr:row>5</xdr:row>
      <xdr:rowOff>36491</xdr:rowOff>
    </xdr:from>
    <xdr:to>
      <xdr:col>4</xdr:col>
      <xdr:colOff>1330375</xdr:colOff>
      <xdr:row>5</xdr:row>
      <xdr:rowOff>1333500</xdr:rowOff>
    </xdr:to>
    <xdr:pic>
      <xdr:nvPicPr>
        <xdr:cNvPr id="8" name="Immagine 7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49941"/>
        <a:stretch/>
      </xdr:blipFill>
      <xdr:spPr>
        <a:xfrm>
          <a:off x="6211956" y="2413600"/>
          <a:ext cx="1645115" cy="1297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16851</xdr:colOff>
      <xdr:row>2</xdr:row>
      <xdr:rowOff>46210</xdr:rowOff>
    </xdr:from>
    <xdr:ext cx="341738" cy="722116"/>
    <xdr:pic>
      <xdr:nvPicPr>
        <xdr:cNvPr id="2" name="Immagine 1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173338" y="626924"/>
          <a:ext cx="722116" cy="341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315272</xdr:colOff>
      <xdr:row>0</xdr:row>
      <xdr:rowOff>215986</xdr:rowOff>
    </xdr:from>
    <xdr:ext cx="758632" cy="359019"/>
    <xdr:pic>
      <xdr:nvPicPr>
        <xdr:cNvPr id="2" name="Immagine 1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1685" y="215986"/>
          <a:ext cx="758632" cy="359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52118</xdr:colOff>
      <xdr:row>0</xdr:row>
      <xdr:rowOff>28575</xdr:rowOff>
    </xdr:from>
    <xdr:ext cx="744698" cy="352425"/>
    <xdr:pic>
      <xdr:nvPicPr>
        <xdr:cNvPr id="3" name="Immagine 2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93" y="28575"/>
          <a:ext cx="744698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518489</xdr:colOff>
      <xdr:row>0</xdr:row>
      <xdr:rowOff>0</xdr:rowOff>
    </xdr:from>
    <xdr:ext cx="665925" cy="315146"/>
    <xdr:pic>
      <xdr:nvPicPr>
        <xdr:cNvPr id="2" name="Immagine 1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714" y="0"/>
          <a:ext cx="665925" cy="31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1"/>
  </sheetPr>
  <dimension ref="A1:E13"/>
  <sheetViews>
    <sheetView zoomScale="115" zoomScaleNormal="115" workbookViewId="0">
      <pane ySplit="2" topLeftCell="A3" activePane="bottomLeft" state="frozen"/>
      <selection pane="bottomLeft" activeCell="C5" sqref="C5"/>
    </sheetView>
  </sheetViews>
  <sheetFormatPr defaultRowHeight="15" x14ac:dyDescent="0.25"/>
  <cols>
    <col min="1" max="1" width="1.28515625" customWidth="1"/>
    <col min="2" max="2" width="4.5703125" customWidth="1"/>
    <col min="3" max="3" width="67.42578125" customWidth="1"/>
    <col min="4" max="4" width="24.5703125" customWidth="1"/>
    <col min="5" max="5" width="26.140625" customWidth="1"/>
  </cols>
  <sheetData>
    <row r="1" spans="1:5" ht="42" customHeight="1" x14ac:dyDescent="0.25">
      <c r="B1" s="518" t="str">
        <f>VERSIONE</f>
        <v>v1.5</v>
      </c>
      <c r="C1" s="519" t="str">
        <f xml:space="preserve">        AUTORE</f>
        <v>Centro Prova Autoveicoli di Milano con sezione di Brescia</v>
      </c>
      <c r="D1" s="520" t="s">
        <v>0</v>
      </c>
      <c r="E1" s="520" t="s">
        <v>1</v>
      </c>
    </row>
    <row r="2" spans="1:5" ht="18.75" customHeight="1" x14ac:dyDescent="0.35">
      <c r="A2" s="418"/>
      <c r="B2" s="535" t="str">
        <f>NOME &amp; " " &amp;VERSIONE &amp; ": ISTRUZIONI PER INSERIMENTO DATI"</f>
        <v>MakingOMMO v1.5: ISTRUZIONI PER INSERIMENTO DATI</v>
      </c>
      <c r="C2" s="535"/>
      <c r="D2" s="535"/>
      <c r="E2" s="535"/>
    </row>
    <row r="3" spans="1:5" ht="4.5" customHeight="1" x14ac:dyDescent="0.25">
      <c r="A3" s="31"/>
      <c r="B3" s="31"/>
      <c r="C3" s="31"/>
      <c r="D3" s="31"/>
      <c r="E3" s="31"/>
    </row>
    <row r="4" spans="1:5" s="7" customFormat="1" x14ac:dyDescent="0.25">
      <c r="A4" s="150"/>
      <c r="B4" s="151" t="s">
        <v>2</v>
      </c>
      <c r="C4" s="152" t="s">
        <v>3</v>
      </c>
      <c r="D4" s="533"/>
      <c r="E4" s="533"/>
    </row>
    <row r="5" spans="1:5" s="7" customFormat="1" ht="107.25" customHeight="1" x14ac:dyDescent="0.25">
      <c r="A5" s="150"/>
      <c r="B5" s="148" t="s">
        <v>4</v>
      </c>
      <c r="C5" s="149" t="s">
        <v>868</v>
      </c>
      <c r="D5" s="536"/>
      <c r="E5" s="536"/>
    </row>
    <row r="6" spans="1:5" s="7" customFormat="1" ht="132" x14ac:dyDescent="0.25">
      <c r="A6" s="150"/>
      <c r="B6" s="148" t="s">
        <v>5</v>
      </c>
      <c r="C6" s="149" t="s">
        <v>869</v>
      </c>
      <c r="D6" s="536"/>
      <c r="E6" s="536"/>
    </row>
    <row r="7" spans="1:5" s="7" customFormat="1" ht="107.25" customHeight="1" x14ac:dyDescent="0.25">
      <c r="A7" s="150"/>
      <c r="B7" s="148">
        <v>1.3</v>
      </c>
      <c r="C7" s="149" t="s">
        <v>867</v>
      </c>
      <c r="D7" s="536"/>
      <c r="E7" s="536"/>
    </row>
    <row r="8" spans="1:5" s="7" customFormat="1" x14ac:dyDescent="0.25">
      <c r="A8" s="150"/>
      <c r="B8" s="151" t="s">
        <v>6</v>
      </c>
      <c r="C8" s="152" t="s">
        <v>7</v>
      </c>
      <c r="D8" s="536"/>
      <c r="E8" s="536"/>
    </row>
    <row r="9" spans="1:5" s="7" customFormat="1" ht="108" customHeight="1" x14ac:dyDescent="0.25">
      <c r="A9" s="150"/>
      <c r="B9" s="148" t="s">
        <v>8</v>
      </c>
      <c r="C9" s="149" t="s">
        <v>870</v>
      </c>
      <c r="D9" s="536"/>
      <c r="E9" s="536"/>
    </row>
    <row r="10" spans="1:5" s="7" customFormat="1" ht="108" customHeight="1" x14ac:dyDescent="0.25">
      <c r="A10" s="150"/>
      <c r="B10" s="148" t="s">
        <v>9</v>
      </c>
      <c r="C10" s="149" t="s">
        <v>871</v>
      </c>
      <c r="D10" s="536"/>
      <c r="E10" s="536"/>
    </row>
    <row r="11" spans="1:5" s="7" customFormat="1" x14ac:dyDescent="0.25">
      <c r="A11" s="31"/>
      <c r="B11" s="528" t="s">
        <v>872</v>
      </c>
      <c r="C11" s="152" t="s">
        <v>873</v>
      </c>
      <c r="D11" s="533"/>
      <c r="E11" s="533"/>
    </row>
    <row r="12" spans="1:5" s="7" customFormat="1" ht="95.25" customHeight="1" x14ac:dyDescent="0.25">
      <c r="A12" s="31"/>
      <c r="B12" s="148">
        <v>3.1</v>
      </c>
      <c r="C12" s="149" t="str">
        <f>"È obbligatorio salvare il file come segue:"&amp; CHAR(10) &amp; CHAR(10) &amp; NOME &amp; VERSIONE &amp; "_nomeConsulente_GG-MM-AAAA.xlsx"</f>
        <v>È obbligatorio salvare il file come segue:
MakingOMMOv1.5_nomeConsulente_GG-MM-AAAA.xlsx</v>
      </c>
      <c r="D12" s="534" t="str">
        <f>NOME&amp;VERSIONE&amp;"_Rossi_27-04-2020.xlsx"</f>
        <v>MakingOMMOv1.5_Rossi_27-04-2020.xlsx</v>
      </c>
      <c r="E12" s="534"/>
    </row>
    <row r="13" spans="1:5" ht="255.75" customHeight="1" x14ac:dyDescent="0.25">
      <c r="A13" s="31"/>
      <c r="B13" s="31"/>
      <c r="C13" s="31"/>
      <c r="D13" s="31"/>
      <c r="E13" s="31"/>
    </row>
  </sheetData>
  <sheetProtection password="F972" sheet="1" objects="1" scenarios="1"/>
  <mergeCells count="10">
    <mergeCell ref="D11:E11"/>
    <mergeCell ref="D12:E12"/>
    <mergeCell ref="B2:E2"/>
    <mergeCell ref="D9:E9"/>
    <mergeCell ref="D10:E10"/>
    <mergeCell ref="D4:E4"/>
    <mergeCell ref="D5:E5"/>
    <mergeCell ref="D6:E6"/>
    <mergeCell ref="D7:E7"/>
    <mergeCell ref="D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3" tint="-0.249977111117893"/>
  </sheetPr>
  <dimension ref="A1:CV16"/>
  <sheetViews>
    <sheetView tabSelected="1" zoomScale="85" zoomScaleNormal="85" workbookViewId="0">
      <pane xSplit="2" ySplit="3" topLeftCell="CK4" activePane="bottomRight" state="frozen"/>
      <selection pane="topRight" activeCell="B1" sqref="B1"/>
      <selection pane="bottomLeft" activeCell="A3" sqref="A3"/>
      <selection pane="bottomRight" activeCell="CP4" sqref="CP4"/>
    </sheetView>
  </sheetViews>
  <sheetFormatPr defaultRowHeight="15" x14ac:dyDescent="0.25"/>
  <cols>
    <col min="1" max="1" width="5.85546875" style="74" customWidth="1"/>
    <col min="2" max="2" width="23.28515625" style="74" customWidth="1"/>
    <col min="3" max="3" width="20.7109375" style="75" customWidth="1"/>
    <col min="4" max="4" width="26.7109375" style="75" customWidth="1"/>
    <col min="5" max="5" width="14.7109375" style="75" customWidth="1"/>
    <col min="6" max="6" width="45.28515625" style="74" customWidth="1"/>
    <col min="7" max="7" width="15.5703125" style="74" customWidth="1"/>
    <col min="8" max="8" width="18.140625" style="74" customWidth="1"/>
    <col min="9" max="9" width="34.7109375" style="74" customWidth="1"/>
    <col min="10" max="14" width="54.140625" style="74" customWidth="1"/>
    <col min="15" max="15" width="46.140625" style="74" customWidth="1"/>
    <col min="16" max="16" width="21.85546875" style="74" customWidth="1"/>
    <col min="17" max="17" width="40.5703125" style="74" customWidth="1"/>
    <col min="18" max="18" width="25.42578125" style="74" customWidth="1"/>
    <col min="19" max="19" width="13.28515625" style="74" customWidth="1"/>
    <col min="20" max="20" width="11.5703125" style="74" customWidth="1"/>
    <col min="21" max="21" width="15.85546875" style="74" customWidth="1"/>
    <col min="22" max="22" width="11.42578125" style="74" customWidth="1"/>
    <col min="23" max="23" width="29.140625" style="74" customWidth="1"/>
    <col min="24" max="24" width="9.5703125" style="74" customWidth="1"/>
    <col min="25" max="25" width="13.42578125" style="74" customWidth="1"/>
    <col min="26" max="26" width="13.85546875" style="74" customWidth="1"/>
    <col min="27" max="27" width="14" style="74" customWidth="1"/>
    <col min="28" max="28" width="16.5703125" style="74" customWidth="1"/>
    <col min="29" max="29" width="14.140625" style="74" customWidth="1"/>
    <col min="30" max="30" width="13.28515625" style="74" customWidth="1"/>
    <col min="31" max="31" width="23.28515625" style="74" customWidth="1"/>
    <col min="32" max="32" width="14.140625" style="74" customWidth="1"/>
    <col min="33" max="33" width="13.28515625" style="74" customWidth="1"/>
    <col min="34" max="34" width="15.5703125" style="74" customWidth="1"/>
    <col min="35" max="35" width="16.28515625" style="74" customWidth="1"/>
    <col min="36" max="36" width="16.42578125" style="74" customWidth="1"/>
    <col min="37" max="37" width="17.42578125" style="74" customWidth="1"/>
    <col min="38" max="38" width="10.42578125" style="74" customWidth="1"/>
    <col min="39" max="39" width="14.28515625" style="74" customWidth="1"/>
    <col min="40" max="40" width="10.5703125" style="74" bestFit="1" customWidth="1"/>
    <col min="41" max="41" width="12.85546875" style="74" customWidth="1"/>
    <col min="42" max="42" width="13.5703125" style="74" customWidth="1"/>
    <col min="43" max="43" width="13.85546875" style="74" bestFit="1" customWidth="1"/>
    <col min="44" max="44" width="44.85546875" style="74" customWidth="1"/>
    <col min="45" max="45" width="28.5703125" style="74" customWidth="1"/>
    <col min="46" max="46" width="27.7109375" style="74" customWidth="1"/>
    <col min="47" max="47" width="14" style="74" customWidth="1"/>
    <col min="48" max="48" width="20.7109375" style="74" customWidth="1"/>
    <col min="49" max="49" width="23.5703125" style="74" customWidth="1"/>
    <col min="50" max="50" width="24.28515625" style="74" customWidth="1"/>
    <col min="51" max="51" width="44.85546875" style="74" customWidth="1"/>
    <col min="52" max="56" width="30.85546875" style="74" bestFit="1" customWidth="1"/>
    <col min="57" max="58" width="31.42578125" style="74" bestFit="1" customWidth="1"/>
    <col min="59" max="59" width="32.28515625" style="74" customWidth="1"/>
    <col min="60" max="61" width="31.42578125" style="74" bestFit="1" customWidth="1"/>
    <col min="62" max="62" width="15.28515625" style="74" customWidth="1"/>
    <col min="63" max="64" width="22.140625" style="74" customWidth="1"/>
    <col min="65" max="66" width="15.28515625" style="74" customWidth="1"/>
    <col min="67" max="67" width="14.5703125" style="74" customWidth="1"/>
    <col min="68" max="68" width="17.7109375" style="74" customWidth="1"/>
    <col min="69" max="69" width="12.140625" style="74" customWidth="1"/>
    <col min="70" max="70" width="16.140625" style="74" customWidth="1"/>
    <col min="71" max="72" width="18.5703125" style="74" customWidth="1"/>
    <col min="73" max="81" width="18" style="74" customWidth="1"/>
    <col min="82" max="88" width="22" style="74" customWidth="1"/>
    <col min="89" max="89" width="25.5703125" style="74" customWidth="1"/>
    <col min="90" max="91" width="18.7109375" style="74" customWidth="1"/>
    <col min="92" max="93" width="13.140625" style="74" customWidth="1"/>
    <col min="94" max="94" width="63.5703125" style="74" customWidth="1"/>
    <col min="95" max="95" width="72.140625" style="74" customWidth="1"/>
    <col min="96" max="96" width="170.28515625" style="74" customWidth="1"/>
    <col min="97" max="98" width="9.140625" style="74"/>
    <col min="99" max="100" width="9.7109375" style="74" bestFit="1" customWidth="1"/>
    <col min="101" max="16384" width="9.140625" style="74"/>
  </cols>
  <sheetData>
    <row r="1" spans="1:100" x14ac:dyDescent="0.25">
      <c r="A1" s="549" t="str">
        <f>VERSIONE</f>
        <v>v1.5</v>
      </c>
      <c r="B1" s="264" t="s">
        <v>10</v>
      </c>
      <c r="C1" s="263">
        <f>STRINGA!B12</f>
        <v>2</v>
      </c>
      <c r="D1" s="263">
        <f>STRINGA!C12</f>
        <v>16</v>
      </c>
      <c r="E1" s="263">
        <f>STRINGA!D12</f>
        <v>6</v>
      </c>
      <c r="F1" s="263">
        <f>STRINGA!E12</f>
        <v>35</v>
      </c>
      <c r="G1" s="263">
        <f>STRINGA!F12</f>
        <v>8</v>
      </c>
      <c r="H1" s="263">
        <f>STRINGA!G12</f>
        <v>6</v>
      </c>
      <c r="I1" s="263">
        <f>STRINGA!H12</f>
        <v>2</v>
      </c>
      <c r="J1" s="263">
        <f>STRINGA!I12</f>
        <v>1</v>
      </c>
      <c r="K1" s="263">
        <f>STRINGA!J12</f>
        <v>1</v>
      </c>
      <c r="L1" s="263">
        <f>STRINGA!K12</f>
        <v>1</v>
      </c>
      <c r="M1" s="263">
        <f>STRINGA!L12</f>
        <v>1</v>
      </c>
      <c r="N1" s="263">
        <f>STRINGA!M12</f>
        <v>1</v>
      </c>
      <c r="O1" s="263">
        <f>STRINGA!N12</f>
        <v>40</v>
      </c>
      <c r="P1" s="263">
        <f>STRINGA!O12</f>
        <v>1</v>
      </c>
      <c r="Q1" s="263">
        <f>STRINGA!P12</f>
        <v>35</v>
      </c>
      <c r="R1" s="263">
        <f>STRINGA!Q12</f>
        <v>3</v>
      </c>
      <c r="S1" s="263">
        <f>STRINGA!R12</f>
        <v>1</v>
      </c>
      <c r="T1" s="263">
        <f>STRINGA!S12</f>
        <v>2</v>
      </c>
      <c r="U1" s="263">
        <f>STRINGA!T12</f>
        <v>5</v>
      </c>
      <c r="V1" s="263">
        <f>STRINGA!U12</f>
        <v>4</v>
      </c>
      <c r="W1" s="263">
        <f>STRINGA!V12</f>
        <v>20</v>
      </c>
      <c r="X1" s="263">
        <f>STRINGA!W12</f>
        <v>3</v>
      </c>
      <c r="Y1" s="263">
        <f>STRINGA!X12</f>
        <v>4</v>
      </c>
      <c r="Z1" s="263">
        <f>STRINGA!Y12</f>
        <v>5</v>
      </c>
      <c r="AA1" s="263">
        <f>STRINGA!Z12</f>
        <v>4</v>
      </c>
      <c r="AB1" s="263">
        <f>STRINGA!AA12</f>
        <v>4</v>
      </c>
      <c r="AC1" s="263">
        <f>STRINGA!AB12</f>
        <v>4</v>
      </c>
      <c r="AD1" s="263">
        <f>STRINGA!AC12</f>
        <v>3</v>
      </c>
      <c r="AE1" s="263">
        <f>STRINGA!AD12</f>
        <v>1</v>
      </c>
      <c r="AF1" s="263">
        <f>STRINGA!AE12</f>
        <v>4</v>
      </c>
      <c r="AG1" s="263">
        <f>STRINGA!AF12</f>
        <v>4</v>
      </c>
      <c r="AH1" s="263">
        <f>STRINGA!AG12</f>
        <v>4</v>
      </c>
      <c r="AI1" s="263">
        <f>STRINGA!AH12</f>
        <v>2</v>
      </c>
      <c r="AJ1" s="263">
        <f>STRINGA!AI12</f>
        <v>5</v>
      </c>
      <c r="AK1" s="263">
        <f>STRINGA!AJ12</f>
        <v>6</v>
      </c>
      <c r="AL1" s="263">
        <f>STRINGA!AK12</f>
        <v>6</v>
      </c>
      <c r="AM1" s="263">
        <f>STRINGA!AL12</f>
        <v>5</v>
      </c>
      <c r="AN1" s="263">
        <f>STRINGA!AM12</f>
        <v>1</v>
      </c>
      <c r="AO1" s="263">
        <f>STRINGA!AN12</f>
        <v>5</v>
      </c>
      <c r="AP1" s="263">
        <f>STRINGA!AO12</f>
        <v>1</v>
      </c>
      <c r="AQ1" s="263">
        <f>STRINGA!AP12</f>
        <v>1</v>
      </c>
      <c r="AR1" s="263">
        <f>STRINGA!AQ12</f>
        <v>65</v>
      </c>
      <c r="AS1" s="263">
        <f>STRINGA!AR12</f>
        <v>1</v>
      </c>
      <c r="AT1" s="263">
        <f>STRINGA!AS12</f>
        <v>1</v>
      </c>
      <c r="AU1" s="263">
        <f>STRINGA!AT12</f>
        <v>3</v>
      </c>
      <c r="AV1" s="263">
        <f>STRINGA!AU12</f>
        <v>3</v>
      </c>
      <c r="AW1" s="263">
        <f>STRINGA!AV12</f>
        <v>3</v>
      </c>
      <c r="AX1" s="263">
        <f>STRINGA!AW12</f>
        <v>2</v>
      </c>
      <c r="AY1" s="263">
        <f>STRINGA!AX12</f>
        <v>53</v>
      </c>
      <c r="AZ1" s="263">
        <f>STRINGA!AY12</f>
        <v>1</v>
      </c>
      <c r="BA1" s="263">
        <f>STRINGA!AZ12</f>
        <v>1</v>
      </c>
      <c r="BB1" s="263">
        <f>STRINGA!BA12</f>
        <v>1</v>
      </c>
      <c r="BC1" s="263">
        <f>STRINGA!BB12</f>
        <v>1</v>
      </c>
      <c r="BD1" s="263">
        <f>STRINGA!BC12</f>
        <v>1</v>
      </c>
      <c r="BE1" s="263">
        <f>STRINGA!BD12</f>
        <v>2</v>
      </c>
      <c r="BF1" s="263">
        <f>STRINGA!BE12</f>
        <v>2</v>
      </c>
      <c r="BG1" s="263">
        <f>STRINGA!BF12</f>
        <v>2</v>
      </c>
      <c r="BH1" s="263">
        <f>STRINGA!BG12</f>
        <v>2</v>
      </c>
      <c r="BI1" s="263">
        <f>STRINGA!BH12</f>
        <v>2</v>
      </c>
      <c r="BJ1" s="263">
        <f>STRINGA!BI12</f>
        <v>5</v>
      </c>
      <c r="BK1" s="263">
        <f>STRINGA!BJ12</f>
        <v>4</v>
      </c>
      <c r="BL1" s="263">
        <f>STRINGA!BK12</f>
        <v>4</v>
      </c>
      <c r="BM1" s="263">
        <f>STRINGA!BL12</f>
        <v>4</v>
      </c>
      <c r="BN1" s="263">
        <f>STRINGA!BM12</f>
        <v>3</v>
      </c>
      <c r="BO1" s="263">
        <f>STRINGA!BN12</f>
        <v>3</v>
      </c>
      <c r="BP1" s="263">
        <f>STRINGA!BO12</f>
        <v>3</v>
      </c>
      <c r="BQ1" s="263">
        <f>STRINGA!BP12</f>
        <v>3</v>
      </c>
      <c r="BR1" s="263">
        <f>STRINGA!BQ12</f>
        <v>3</v>
      </c>
      <c r="BS1" s="263">
        <f>STRINGA!BR12</f>
        <v>3</v>
      </c>
      <c r="BT1" s="263">
        <f>STRINGA!BS12</f>
        <v>3</v>
      </c>
      <c r="BU1" s="263">
        <f>STRINGA!BT12</f>
        <v>3</v>
      </c>
      <c r="BV1" s="263">
        <f>STRINGA!BU12</f>
        <v>4</v>
      </c>
      <c r="BW1" s="263">
        <f>STRINGA!BV12</f>
        <v>4</v>
      </c>
      <c r="BX1" s="263">
        <f>STRINGA!BW12</f>
        <v>3</v>
      </c>
      <c r="BY1" s="263">
        <f>STRINGA!BX12</f>
        <v>3</v>
      </c>
      <c r="BZ1" s="263">
        <f>STRINGA!BY12</f>
        <v>3</v>
      </c>
      <c r="CA1" s="263">
        <f>STRINGA!BZ12</f>
        <v>2</v>
      </c>
      <c r="CB1" s="263">
        <f>STRINGA!CA12</f>
        <v>3</v>
      </c>
      <c r="CC1" s="263">
        <f>STRINGA!CB12</f>
        <v>5</v>
      </c>
      <c r="CD1" s="263">
        <f>STRINGA!CC12</f>
        <v>3</v>
      </c>
      <c r="CE1" s="263">
        <f>STRINGA!CD12</f>
        <v>2</v>
      </c>
      <c r="CF1" s="263">
        <f>STRINGA!CE12</f>
        <v>6</v>
      </c>
      <c r="CG1" s="263">
        <f>STRINGA!CF12</f>
        <v>6</v>
      </c>
      <c r="CH1" s="263">
        <f>STRINGA!CG12</f>
        <v>6</v>
      </c>
      <c r="CI1" s="263">
        <f>STRINGA!CH12</f>
        <v>3</v>
      </c>
      <c r="CJ1" s="263">
        <f>STRINGA!CI12</f>
        <v>3</v>
      </c>
      <c r="CK1" s="263">
        <f>STRINGA!CJ12</f>
        <v>6</v>
      </c>
      <c r="CL1" s="263">
        <f>STRINGA!CK12</f>
        <v>3</v>
      </c>
      <c r="CM1" s="263">
        <f>STRINGA!CL12</f>
        <v>2</v>
      </c>
      <c r="CN1" s="263">
        <f>STRINGA!CM12</f>
        <v>3</v>
      </c>
      <c r="CO1" s="263">
        <f>STRINGA!CN12</f>
        <v>2</v>
      </c>
      <c r="CP1" s="263">
        <f>STRINGA!CO12</f>
        <v>424</v>
      </c>
      <c r="CQ1" s="263">
        <f>STRINGA!CP12</f>
        <v>424</v>
      </c>
      <c r="CR1" s="80"/>
    </row>
    <row r="2" spans="1:100" ht="15.75" customHeight="1" thickBot="1" x14ac:dyDescent="0.3">
      <c r="A2" s="549"/>
      <c r="B2" s="262" t="s">
        <v>11</v>
      </c>
      <c r="C2" s="261">
        <f>STRINGA!B13</f>
        <v>0</v>
      </c>
      <c r="D2" s="261">
        <f>STRINGA!C13</f>
        <v>0</v>
      </c>
      <c r="E2" s="261">
        <f>STRINGA!D13</f>
        <v>0</v>
      </c>
      <c r="F2" s="261">
        <f>STRINGA!E13</f>
        <v>0</v>
      </c>
      <c r="G2" s="261">
        <f>STRINGA!F13</f>
        <v>0</v>
      </c>
      <c r="H2" s="261">
        <f>STRINGA!G13</f>
        <v>0</v>
      </c>
      <c r="I2" s="261">
        <f>STRINGA!H13</f>
        <v>0</v>
      </c>
      <c r="J2" s="261">
        <f>STRINGA!I13</f>
        <v>0</v>
      </c>
      <c r="K2" s="261">
        <f>STRINGA!J13</f>
        <v>0</v>
      </c>
      <c r="L2" s="261">
        <f>STRINGA!K13</f>
        <v>0</v>
      </c>
      <c r="M2" s="261">
        <f>STRINGA!L13</f>
        <v>0</v>
      </c>
      <c r="N2" s="261">
        <f>STRINGA!M13</f>
        <v>0</v>
      </c>
      <c r="O2" s="261">
        <f>STRINGA!N13</f>
        <v>0</v>
      </c>
      <c r="P2" s="261">
        <f>STRINGA!O13</f>
        <v>0</v>
      </c>
      <c r="Q2" s="261">
        <f>STRINGA!P13</f>
        <v>0</v>
      </c>
      <c r="R2" s="261">
        <f>STRINGA!Q13</f>
        <v>0</v>
      </c>
      <c r="S2" s="261">
        <f>STRINGA!R13</f>
        <v>0</v>
      </c>
      <c r="T2" s="261">
        <f>STRINGA!S13</f>
        <v>0</v>
      </c>
      <c r="U2" s="261">
        <f>STRINGA!T13</f>
        <v>0</v>
      </c>
      <c r="V2" s="261">
        <f>STRINGA!U13</f>
        <v>1</v>
      </c>
      <c r="W2" s="261">
        <f>STRINGA!V13</f>
        <v>0</v>
      </c>
      <c r="X2" s="261">
        <f>STRINGA!W13</f>
        <v>0</v>
      </c>
      <c r="Y2" s="261">
        <f>STRINGA!X13</f>
        <v>0</v>
      </c>
      <c r="Z2" s="261">
        <f>STRINGA!Y13</f>
        <v>0</v>
      </c>
      <c r="AA2" s="261">
        <f>STRINGA!Z13</f>
        <v>0</v>
      </c>
      <c r="AB2" s="261">
        <f>STRINGA!AA13</f>
        <v>0</v>
      </c>
      <c r="AC2" s="261">
        <f>STRINGA!AB13</f>
        <v>0</v>
      </c>
      <c r="AD2" s="261">
        <f>STRINGA!AC13</f>
        <v>2</v>
      </c>
      <c r="AE2" s="261">
        <f>STRINGA!AD13</f>
        <v>0</v>
      </c>
      <c r="AF2" s="261">
        <f>STRINGA!AE13</f>
        <v>0</v>
      </c>
      <c r="AG2" s="261">
        <f>STRINGA!AF13</f>
        <v>0</v>
      </c>
      <c r="AH2" s="261">
        <f>STRINGA!AG13</f>
        <v>0</v>
      </c>
      <c r="AI2" s="261">
        <f>STRINGA!AH13</f>
        <v>0</v>
      </c>
      <c r="AJ2" s="261">
        <f>STRINGA!AI13</f>
        <v>0</v>
      </c>
      <c r="AK2" s="261">
        <f>STRINGA!AJ13</f>
        <v>0</v>
      </c>
      <c r="AL2" s="261">
        <f>STRINGA!AK13</f>
        <v>0</v>
      </c>
      <c r="AM2" s="261">
        <f>STRINGA!AL13</f>
        <v>0</v>
      </c>
      <c r="AN2" s="261">
        <f>STRINGA!AM13</f>
        <v>0</v>
      </c>
      <c r="AO2" s="261">
        <f>STRINGA!AN13</f>
        <v>0</v>
      </c>
      <c r="AP2" s="261">
        <f>STRINGA!AO13</f>
        <v>0</v>
      </c>
      <c r="AQ2" s="261">
        <f>STRINGA!AP13</f>
        <v>0</v>
      </c>
      <c r="AR2" s="261">
        <f>STRINGA!AQ13</f>
        <v>0</v>
      </c>
      <c r="AS2" s="261">
        <f>STRINGA!AR13</f>
        <v>0</v>
      </c>
      <c r="AT2" s="261">
        <f>STRINGA!AS13</f>
        <v>0</v>
      </c>
      <c r="AU2" s="261">
        <f>STRINGA!AT13</f>
        <v>0</v>
      </c>
      <c r="AV2" s="261">
        <f>STRINGA!AU13</f>
        <v>1</v>
      </c>
      <c r="AW2" s="261">
        <f>STRINGA!AV13</f>
        <v>1</v>
      </c>
      <c r="AX2" s="261">
        <f>STRINGA!AW13</f>
        <v>0</v>
      </c>
      <c r="AY2" s="261">
        <f>STRINGA!AX13</f>
        <v>0</v>
      </c>
      <c r="AZ2" s="261">
        <f>STRINGA!AY13</f>
        <v>0</v>
      </c>
      <c r="BA2" s="261">
        <f>STRINGA!AZ13</f>
        <v>0</v>
      </c>
      <c r="BB2" s="261">
        <f>STRINGA!BA13</f>
        <v>0</v>
      </c>
      <c r="BC2" s="261">
        <f>STRINGA!BB13</f>
        <v>0</v>
      </c>
      <c r="BD2" s="261">
        <f>STRINGA!BC13</f>
        <v>0</v>
      </c>
      <c r="BE2" s="261">
        <f>STRINGA!BD13</f>
        <v>0</v>
      </c>
      <c r="BF2" s="261">
        <f>STRINGA!BE13</f>
        <v>0</v>
      </c>
      <c r="BG2" s="261">
        <f>STRINGA!BF13</f>
        <v>0</v>
      </c>
      <c r="BH2" s="261">
        <f>STRINGA!BG13</f>
        <v>0</v>
      </c>
      <c r="BI2" s="261">
        <f>STRINGA!BH13</f>
        <v>0</v>
      </c>
      <c r="BJ2" s="261">
        <f>STRINGA!BI13</f>
        <v>0</v>
      </c>
      <c r="BK2" s="261">
        <f>STRINGA!BJ13</f>
        <v>0</v>
      </c>
      <c r="BL2" s="261">
        <f>STRINGA!BK13</f>
        <v>0</v>
      </c>
      <c r="BM2" s="261">
        <f>STRINGA!BL13</f>
        <v>0</v>
      </c>
      <c r="BN2" s="261">
        <f>STRINGA!BM13</f>
        <v>2</v>
      </c>
      <c r="BO2" s="261">
        <f>STRINGA!BN13</f>
        <v>0</v>
      </c>
      <c r="BP2" s="261">
        <f>STRINGA!BO13</f>
        <v>1</v>
      </c>
      <c r="BQ2" s="261">
        <f>STRINGA!BP13</f>
        <v>1</v>
      </c>
      <c r="BR2" s="261">
        <f>STRINGA!BQ13</f>
        <v>1</v>
      </c>
      <c r="BS2" s="261">
        <f>STRINGA!BR13</f>
        <v>1</v>
      </c>
      <c r="BT2" s="261">
        <f>STRINGA!BS13</f>
        <v>1</v>
      </c>
      <c r="BU2" s="261">
        <f>STRINGA!BT13</f>
        <v>1</v>
      </c>
      <c r="BV2" s="261">
        <f>STRINGA!BU13</f>
        <v>2</v>
      </c>
      <c r="BW2" s="261">
        <f>STRINGA!BV13</f>
        <v>2</v>
      </c>
      <c r="BX2" s="261">
        <f>STRINGA!BW13</f>
        <v>1</v>
      </c>
      <c r="BY2" s="261">
        <f>STRINGA!BX13</f>
        <v>1</v>
      </c>
      <c r="BZ2" s="261">
        <f>STRINGA!BY13</f>
        <v>1</v>
      </c>
      <c r="CA2" s="261">
        <f>STRINGA!BZ13</f>
        <v>0</v>
      </c>
      <c r="CB2" s="261">
        <f>STRINGA!CA13</f>
        <v>1</v>
      </c>
      <c r="CC2" s="261">
        <f>STRINGA!CB13</f>
        <v>0</v>
      </c>
      <c r="CD2" s="261">
        <f>STRINGA!CC13</f>
        <v>1</v>
      </c>
      <c r="CE2" s="261">
        <f>STRINGA!CD13</f>
        <v>0</v>
      </c>
      <c r="CF2" s="261">
        <f>STRINGA!CE13</f>
        <v>0</v>
      </c>
      <c r="CG2" s="261">
        <f>STRINGA!CF13</f>
        <v>0</v>
      </c>
      <c r="CH2" s="261">
        <f>STRINGA!CG13</f>
        <v>0</v>
      </c>
      <c r="CI2" s="261">
        <f>STRINGA!CH13</f>
        <v>1</v>
      </c>
      <c r="CJ2" s="261">
        <f>STRINGA!CI13</f>
        <v>1</v>
      </c>
      <c r="CK2" s="261">
        <f>STRINGA!CJ13</f>
        <v>0</v>
      </c>
      <c r="CL2" s="261">
        <f>STRINGA!CK13</f>
        <v>1</v>
      </c>
      <c r="CM2" s="261">
        <f>STRINGA!CL13</f>
        <v>0</v>
      </c>
      <c r="CN2" s="261">
        <f>STRINGA!CM13</f>
        <v>1</v>
      </c>
      <c r="CO2" s="261">
        <f>STRINGA!CN13</f>
        <v>0</v>
      </c>
      <c r="CP2" s="261">
        <f>STRINGA!CO13</f>
        <v>0</v>
      </c>
      <c r="CQ2" s="261">
        <f>STRINGA!CP13</f>
        <v>0</v>
      </c>
      <c r="CR2" s="80"/>
    </row>
    <row r="3" spans="1:100" s="54" customFormat="1" ht="67.5" customHeight="1" thickBot="1" x14ac:dyDescent="0.3">
      <c r="A3" s="402"/>
      <c r="B3" s="260" t="s">
        <v>875</v>
      </c>
      <c r="C3" s="396" t="s">
        <v>12</v>
      </c>
      <c r="D3" s="259" t="s">
        <v>13</v>
      </c>
      <c r="E3" s="259" t="s">
        <v>14</v>
      </c>
      <c r="F3" s="259" t="s">
        <v>15</v>
      </c>
      <c r="G3" s="259" t="s">
        <v>16</v>
      </c>
      <c r="H3" s="259" t="s">
        <v>17</v>
      </c>
      <c r="I3" s="397" t="s">
        <v>18</v>
      </c>
      <c r="J3" s="397" t="s">
        <v>19</v>
      </c>
      <c r="K3" s="397" t="s">
        <v>20</v>
      </c>
      <c r="L3" s="397" t="s">
        <v>21</v>
      </c>
      <c r="M3" s="397" t="s">
        <v>22</v>
      </c>
      <c r="N3" s="397" t="s">
        <v>23</v>
      </c>
      <c r="O3" s="259" t="s">
        <v>24</v>
      </c>
      <c r="P3" s="396" t="s">
        <v>25</v>
      </c>
      <c r="Q3" s="259" t="s">
        <v>26</v>
      </c>
      <c r="R3" s="396" t="s">
        <v>27</v>
      </c>
      <c r="S3" s="396" t="s">
        <v>28</v>
      </c>
      <c r="T3" s="259" t="s">
        <v>29</v>
      </c>
      <c r="U3" s="259" t="s">
        <v>30</v>
      </c>
      <c r="V3" s="259" t="s">
        <v>31</v>
      </c>
      <c r="W3" s="259" t="s">
        <v>32</v>
      </c>
      <c r="X3" s="259" t="s">
        <v>33</v>
      </c>
      <c r="Y3" s="259" t="s">
        <v>34</v>
      </c>
      <c r="Z3" s="259" t="s">
        <v>35</v>
      </c>
      <c r="AA3" s="259" t="s">
        <v>36</v>
      </c>
      <c r="AB3" s="259" t="s">
        <v>37</v>
      </c>
      <c r="AC3" s="259" t="s">
        <v>38</v>
      </c>
      <c r="AD3" s="259" t="s">
        <v>39</v>
      </c>
      <c r="AE3" s="396" t="s">
        <v>40</v>
      </c>
      <c r="AF3" s="259" t="s">
        <v>41</v>
      </c>
      <c r="AG3" s="259" t="s">
        <v>42</v>
      </c>
      <c r="AH3" s="259" t="s">
        <v>43</v>
      </c>
      <c r="AI3" s="259" t="s">
        <v>44</v>
      </c>
      <c r="AJ3" s="259" t="s">
        <v>45</v>
      </c>
      <c r="AK3" s="259" t="s">
        <v>46</v>
      </c>
      <c r="AL3" s="259" t="s">
        <v>47</v>
      </c>
      <c r="AM3" s="259" t="s">
        <v>48</v>
      </c>
      <c r="AN3" s="259" t="s">
        <v>49</v>
      </c>
      <c r="AO3" s="508" t="s">
        <v>50</v>
      </c>
      <c r="AP3" s="508" t="s">
        <v>51</v>
      </c>
      <c r="AQ3" s="396" t="s">
        <v>52</v>
      </c>
      <c r="AR3" s="259" t="s">
        <v>53</v>
      </c>
      <c r="AS3" s="396" t="s">
        <v>54</v>
      </c>
      <c r="AT3" s="396" t="s">
        <v>55</v>
      </c>
      <c r="AU3" s="259" t="s">
        <v>56</v>
      </c>
      <c r="AV3" s="273" t="s">
        <v>57</v>
      </c>
      <c r="AW3" s="274" t="s">
        <v>58</v>
      </c>
      <c r="AX3" s="396" t="s">
        <v>59</v>
      </c>
      <c r="AY3" s="259" t="s">
        <v>60</v>
      </c>
      <c r="AZ3" s="396" t="s">
        <v>61</v>
      </c>
      <c r="BA3" s="396" t="s">
        <v>62</v>
      </c>
      <c r="BB3" s="396" t="s">
        <v>63</v>
      </c>
      <c r="BC3" s="396" t="s">
        <v>64</v>
      </c>
      <c r="BD3" s="396" t="s">
        <v>65</v>
      </c>
      <c r="BE3" s="396" t="s">
        <v>66</v>
      </c>
      <c r="BF3" s="396" t="s">
        <v>67</v>
      </c>
      <c r="BG3" s="396" t="s">
        <v>68</v>
      </c>
      <c r="BH3" s="396" t="s">
        <v>69</v>
      </c>
      <c r="BI3" s="396" t="s">
        <v>70</v>
      </c>
      <c r="BJ3" s="259" t="s">
        <v>71</v>
      </c>
      <c r="BK3" s="259" t="s">
        <v>72</v>
      </c>
      <c r="BL3" s="259" t="s">
        <v>73</v>
      </c>
      <c r="BM3" s="259" t="s">
        <v>74</v>
      </c>
      <c r="BN3" s="259" t="s">
        <v>75</v>
      </c>
      <c r="BO3" s="398" t="s">
        <v>76</v>
      </c>
      <c r="BP3" s="258" t="s">
        <v>77</v>
      </c>
      <c r="BQ3" s="257" t="s">
        <v>78</v>
      </c>
      <c r="BR3" s="257" t="s">
        <v>79</v>
      </c>
      <c r="BS3" s="256" t="s">
        <v>80</v>
      </c>
      <c r="BT3" s="255" t="s">
        <v>81</v>
      </c>
      <c r="BU3" s="254" t="s">
        <v>82</v>
      </c>
      <c r="BV3" s="254" t="s">
        <v>83</v>
      </c>
      <c r="BW3" s="254" t="s">
        <v>84</v>
      </c>
      <c r="BX3" s="254" t="s">
        <v>85</v>
      </c>
      <c r="BY3" s="254" t="s">
        <v>86</v>
      </c>
      <c r="BZ3" s="253" t="s">
        <v>87</v>
      </c>
      <c r="CA3" s="253" t="s">
        <v>88</v>
      </c>
      <c r="CB3" s="252" t="s">
        <v>89</v>
      </c>
      <c r="CC3" s="252" t="s">
        <v>90</v>
      </c>
      <c r="CD3" s="253" t="s">
        <v>91</v>
      </c>
      <c r="CE3" s="253" t="s">
        <v>92</v>
      </c>
      <c r="CF3" s="251" t="s">
        <v>93</v>
      </c>
      <c r="CG3" s="251" t="s">
        <v>94</v>
      </c>
      <c r="CH3" s="251" t="s">
        <v>95</v>
      </c>
      <c r="CI3" s="251" t="s">
        <v>96</v>
      </c>
      <c r="CJ3" s="251" t="s">
        <v>97</v>
      </c>
      <c r="CK3" s="251" t="s">
        <v>98</v>
      </c>
      <c r="CL3" s="253" t="s">
        <v>99</v>
      </c>
      <c r="CM3" s="253" t="s">
        <v>100</v>
      </c>
      <c r="CN3" s="250" t="s">
        <v>101</v>
      </c>
      <c r="CO3" s="328" t="s">
        <v>102</v>
      </c>
      <c r="CP3" s="249" t="s">
        <v>103</v>
      </c>
      <c r="CQ3" s="248" t="s">
        <v>104</v>
      </c>
      <c r="CR3" s="82"/>
    </row>
    <row r="4" spans="1:100" s="77" customFormat="1" ht="109.5" customHeight="1" x14ac:dyDescent="0.25">
      <c r="A4" s="550" t="str">
        <f>AUTORE_V</f>
        <v>C  e  n  t  r  o      P  r  o  v  a      A  u  t  o  v  e  i  c  o  l  i      d  i      M  i  l  a  n  o      c  o  n      s  e  z  i  o  n  e      d  i      B  r   e  s  c  i  a</v>
      </c>
      <c r="B4" s="546" t="s">
        <v>881</v>
      </c>
      <c r="C4" s="162" t="s">
        <v>882</v>
      </c>
      <c r="D4" s="163" t="s">
        <v>883</v>
      </c>
      <c r="E4" s="163" t="s">
        <v>884</v>
      </c>
      <c r="F4" s="163" t="s">
        <v>885</v>
      </c>
      <c r="G4" s="163"/>
      <c r="H4" s="163"/>
      <c r="I4" s="163" t="s">
        <v>886</v>
      </c>
      <c r="J4" s="330" t="s">
        <v>887</v>
      </c>
      <c r="K4" s="330" t="s">
        <v>888</v>
      </c>
      <c r="L4" s="330" t="s">
        <v>889</v>
      </c>
      <c r="M4" s="330"/>
      <c r="N4" s="330"/>
      <c r="O4" s="163" t="s">
        <v>890</v>
      </c>
      <c r="P4" s="163" t="s">
        <v>891</v>
      </c>
      <c r="Q4" s="163" t="s">
        <v>895</v>
      </c>
      <c r="R4" s="163" t="s">
        <v>892</v>
      </c>
      <c r="S4" s="163">
        <v>4</v>
      </c>
      <c r="T4" s="163"/>
      <c r="U4" s="163" t="s">
        <v>893</v>
      </c>
      <c r="V4" s="163" t="s">
        <v>894</v>
      </c>
      <c r="W4" s="163"/>
      <c r="X4" s="163"/>
      <c r="Y4" s="163"/>
      <c r="Z4" s="163" t="s">
        <v>896</v>
      </c>
      <c r="AA4" s="163" t="s">
        <v>897</v>
      </c>
      <c r="AB4" s="163" t="s">
        <v>898</v>
      </c>
      <c r="AC4" s="163" t="s">
        <v>899</v>
      </c>
      <c r="AD4" s="163" t="s">
        <v>910</v>
      </c>
      <c r="AE4" s="163"/>
      <c r="AF4" s="163" t="s">
        <v>900</v>
      </c>
      <c r="AG4" s="163"/>
      <c r="AH4" s="163"/>
      <c r="AI4" s="163" t="s">
        <v>901</v>
      </c>
      <c r="AJ4" s="163" t="s">
        <v>902</v>
      </c>
      <c r="AK4" s="163" t="s">
        <v>902</v>
      </c>
      <c r="AL4" s="163" t="s">
        <v>902</v>
      </c>
      <c r="AM4" s="163"/>
      <c r="AN4" s="163"/>
      <c r="AO4" s="509"/>
      <c r="AP4" s="509"/>
      <c r="AQ4" s="163"/>
      <c r="AR4" s="163" t="s">
        <v>903</v>
      </c>
      <c r="AS4" s="163"/>
      <c r="AT4" s="163"/>
      <c r="AU4" s="163" t="s">
        <v>904</v>
      </c>
      <c r="AV4" s="163" t="s">
        <v>905</v>
      </c>
      <c r="AW4" s="163" t="s">
        <v>906</v>
      </c>
      <c r="AX4" s="163" t="s">
        <v>907</v>
      </c>
      <c r="AY4" s="163"/>
      <c r="AZ4" s="163" t="s">
        <v>908</v>
      </c>
      <c r="BA4" s="163"/>
      <c r="BB4" s="163"/>
      <c r="BC4" s="163"/>
      <c r="BD4" s="163"/>
      <c r="BE4" s="163" t="s">
        <v>909</v>
      </c>
      <c r="BF4" s="163"/>
      <c r="BG4" s="163"/>
      <c r="BH4" s="163"/>
      <c r="BI4" s="163"/>
      <c r="BJ4" s="163" t="s">
        <v>896</v>
      </c>
      <c r="BK4" s="163" t="s">
        <v>898</v>
      </c>
      <c r="BL4" s="163" t="s">
        <v>899</v>
      </c>
      <c r="BM4" s="163" t="s">
        <v>897</v>
      </c>
      <c r="BN4" s="163" t="s">
        <v>910</v>
      </c>
      <c r="BO4" s="329"/>
      <c r="BP4" s="30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 t="s">
        <v>912</v>
      </c>
      <c r="CM4" s="163" t="s">
        <v>911</v>
      </c>
      <c r="CN4" s="163"/>
      <c r="CO4" s="329"/>
      <c r="CP4" s="458" t="s">
        <v>913</v>
      </c>
      <c r="CQ4" s="458"/>
      <c r="CR4" s="83"/>
    </row>
    <row r="5" spans="1:100" s="154" customFormat="1" ht="13.5" customHeight="1" x14ac:dyDescent="0.25">
      <c r="A5" s="550"/>
      <c r="B5" s="547"/>
      <c r="C5" s="346" t="s">
        <v>7</v>
      </c>
      <c r="D5" s="347" t="s">
        <v>7</v>
      </c>
      <c r="E5" s="347" t="s">
        <v>7</v>
      </c>
      <c r="F5" s="347" t="s">
        <v>7</v>
      </c>
      <c r="G5" s="347" t="s">
        <v>7</v>
      </c>
      <c r="H5" s="347" t="s">
        <v>7</v>
      </c>
      <c r="I5" s="347" t="s">
        <v>7</v>
      </c>
      <c r="J5" s="347" t="s">
        <v>7</v>
      </c>
      <c r="K5" s="347" t="s">
        <v>7</v>
      </c>
      <c r="L5" s="347" t="s">
        <v>7</v>
      </c>
      <c r="M5" s="347" t="s">
        <v>7</v>
      </c>
      <c r="N5" s="347" t="s">
        <v>7</v>
      </c>
      <c r="O5" s="347" t="s">
        <v>7</v>
      </c>
      <c r="P5" s="347" t="s">
        <v>7</v>
      </c>
      <c r="Q5" s="347" t="s">
        <v>7</v>
      </c>
      <c r="R5" s="347" t="s">
        <v>7</v>
      </c>
      <c r="S5" s="347" t="s">
        <v>7</v>
      </c>
      <c r="T5" s="347" t="s">
        <v>7</v>
      </c>
      <c r="U5" s="347" t="s">
        <v>7</v>
      </c>
      <c r="V5" s="347" t="s">
        <v>7</v>
      </c>
      <c r="W5" s="347" t="s">
        <v>7</v>
      </c>
      <c r="X5" s="347" t="s">
        <v>7</v>
      </c>
      <c r="Y5" s="347" t="s">
        <v>7</v>
      </c>
      <c r="Z5" s="449" t="str">
        <f>IF(AND($Z4&lt;&gt;"",$AB4&lt;&gt;"",$AC4&lt;&gt;"",$AF4&lt;&gt;"",N($Z4)&lt;&gt;N($AB4)+N($AC4)+N($AF4)+N($AG4)+N($AH4)),"RICONTROLLARE","ANTEPRIMA")</f>
        <v>ANTEPRIMA</v>
      </c>
      <c r="AA5" s="347" t="s">
        <v>7</v>
      </c>
      <c r="AB5" s="449" t="str">
        <f>IF(AND($Z4&lt;&gt;"",$AB4&lt;&gt;"",$AC4&lt;&gt;"",$AF4&lt;&gt;"",N($Z4)&lt;&gt;N($AB4)+N($AC4)+N($AF4)+N($AG4)+N($AH4)),"RICONTROLLARE","ANTEPRIMA")</f>
        <v>ANTEPRIMA</v>
      </c>
      <c r="AC5" s="449" t="str">
        <f>IF(AND($Z4&lt;&gt;"",$AB4&lt;&gt;"",$AC4&lt;&gt;"",$AF4&lt;&gt;"",N($Z4)&lt;&gt;N($AB4)+N($AC4)+N($AF4)+N($AG4)+N($AH4)),"RICONTROLLARE","ANTEPRIMA")</f>
        <v>ANTEPRIMA</v>
      </c>
      <c r="AD5" s="347" t="s">
        <v>7</v>
      </c>
      <c r="AE5" s="347" t="s">
        <v>7</v>
      </c>
      <c r="AF5" s="449" t="str">
        <f>IF(AND($Z4&lt;&gt;"",$AB4&lt;&gt;"",$AC4&lt;&gt;"",$AF4&lt;&gt;"",N($Z4)&lt;&gt;N($AB4)+N($AC4)+N($AF4)+N($AG4)+N($AH4)),"RICONTROLLARE","ANTEPRIMA")</f>
        <v>ANTEPRIMA</v>
      </c>
      <c r="AG5" s="449" t="str">
        <f>IF(AND($Z4&lt;&gt;"",$AB4&lt;&gt;"",$AC4&lt;&gt;"",$AF4&lt;&gt;"",N($Z4)&lt;&gt;N($AB4)+N($AC4)+N($AF4)+N($AG4)+N($AH4)),"RICONTROLLARE","ANTEPRIMA")</f>
        <v>ANTEPRIMA</v>
      </c>
      <c r="AH5" s="449" t="str">
        <f>IF(AND($Z4&lt;&gt;"",$AB4&lt;&gt;"",$AC4&lt;&gt;"",$AF4&lt;&gt;"",N($Z4)&lt;&gt;N($AB4)+N($AC4)+N($AF4)+N($AG4)+N($AH4)),"RICONTROLLARE","ANTEPRIMA")</f>
        <v>ANTEPRIMA</v>
      </c>
      <c r="AI5" s="448" t="str">
        <f>IF(OR(AI4="",4-COUNTBLANK($AF4:$AH4)=VALUE($AI4)),"ANTEPRIMA","RICONTROLLARE")</f>
        <v>ANTEPRIMA</v>
      </c>
      <c r="AJ5" s="347" t="s">
        <v>7</v>
      </c>
      <c r="AK5" s="347" t="s">
        <v>7</v>
      </c>
      <c r="AL5" s="347" t="s">
        <v>7</v>
      </c>
      <c r="AM5" s="347" t="s">
        <v>7</v>
      </c>
      <c r="AN5" s="347" t="s">
        <v>7</v>
      </c>
      <c r="AO5" s="510" t="s">
        <v>7</v>
      </c>
      <c r="AP5" s="510" t="s">
        <v>7</v>
      </c>
      <c r="AQ5" s="347" t="s">
        <v>7</v>
      </c>
      <c r="AR5" s="347" t="s">
        <v>7</v>
      </c>
      <c r="AS5" s="347" t="s">
        <v>7</v>
      </c>
      <c r="AT5" s="347" t="s">
        <v>7</v>
      </c>
      <c r="AU5" s="347" t="s">
        <v>7</v>
      </c>
      <c r="AV5" s="348" t="s">
        <v>7</v>
      </c>
      <c r="AW5" s="349" t="s">
        <v>7</v>
      </c>
      <c r="AX5" s="347" t="s">
        <v>7</v>
      </c>
      <c r="AY5" s="347" t="s">
        <v>7</v>
      </c>
      <c r="AZ5" s="347" t="s">
        <v>7</v>
      </c>
      <c r="BA5" s="347" t="s">
        <v>7</v>
      </c>
      <c r="BB5" s="347" t="s">
        <v>7</v>
      </c>
      <c r="BC5" s="347" t="s">
        <v>7</v>
      </c>
      <c r="BD5" s="347" t="s">
        <v>7</v>
      </c>
      <c r="BE5" s="347" t="s">
        <v>7</v>
      </c>
      <c r="BF5" s="347" t="s">
        <v>7</v>
      </c>
      <c r="BG5" s="347" t="s">
        <v>7</v>
      </c>
      <c r="BH5" s="347" t="s">
        <v>7</v>
      </c>
      <c r="BI5" s="347" t="s">
        <v>7</v>
      </c>
      <c r="BJ5" s="347" t="s">
        <v>7</v>
      </c>
      <c r="BK5" s="347" t="s">
        <v>7</v>
      </c>
      <c r="BL5" s="347" t="s">
        <v>7</v>
      </c>
      <c r="BM5" s="347" t="s">
        <v>7</v>
      </c>
      <c r="BN5" s="347" t="s">
        <v>7</v>
      </c>
      <c r="BO5" s="350" t="s">
        <v>7</v>
      </c>
      <c r="BP5" s="351" t="s">
        <v>7</v>
      </c>
      <c r="BQ5" s="352" t="s">
        <v>7</v>
      </c>
      <c r="BR5" s="352" t="s">
        <v>7</v>
      </c>
      <c r="BS5" s="352" t="s">
        <v>7</v>
      </c>
      <c r="BT5" s="352" t="s">
        <v>7</v>
      </c>
      <c r="BU5" s="352" t="s">
        <v>7</v>
      </c>
      <c r="BV5" s="352" t="s">
        <v>7</v>
      </c>
      <c r="BW5" s="352" t="s">
        <v>7</v>
      </c>
      <c r="BX5" s="352" t="s">
        <v>7</v>
      </c>
      <c r="BY5" s="352" t="s">
        <v>7</v>
      </c>
      <c r="BZ5" s="352" t="s">
        <v>7</v>
      </c>
      <c r="CA5" s="352" t="s">
        <v>7</v>
      </c>
      <c r="CB5" s="352" t="s">
        <v>7</v>
      </c>
      <c r="CC5" s="352" t="s">
        <v>7</v>
      </c>
      <c r="CD5" s="352" t="s">
        <v>7</v>
      </c>
      <c r="CE5" s="352" t="s">
        <v>7</v>
      </c>
      <c r="CF5" s="352" t="s">
        <v>7</v>
      </c>
      <c r="CG5" s="352" t="s">
        <v>7</v>
      </c>
      <c r="CH5" s="352" t="s">
        <v>7</v>
      </c>
      <c r="CI5" s="352" t="s">
        <v>7</v>
      </c>
      <c r="CJ5" s="352" t="s">
        <v>7</v>
      </c>
      <c r="CK5" s="352" t="s">
        <v>7</v>
      </c>
      <c r="CL5" s="352" t="s">
        <v>7</v>
      </c>
      <c r="CM5" s="352" t="s">
        <v>7</v>
      </c>
      <c r="CN5" s="347" t="s">
        <v>7</v>
      </c>
      <c r="CO5" s="353" t="s">
        <v>7</v>
      </c>
      <c r="CP5" s="507" t="str">
        <f>"ANTEPRIMA"&amp;descrittive_A!AG18&amp;"                CARATTERI RIMANENTI: "&amp;descrittive_A!$J$6</f>
        <v>ANTEPRIMA                                                    CARATTERI RIMANENTI: 175</v>
      </c>
      <c r="CQ5" s="354" t="str">
        <f>"ANTEPRIMA"&amp;descrittive_B!AG18&amp;"                                                       CARATTERI RIMANENTI: "&amp;descrittive_B!$J$6</f>
        <v>ANTEPRIMA                                                                                           CARATTERI RIMANENTI: 371</v>
      </c>
      <c r="CR5" s="153"/>
    </row>
    <row r="6" spans="1:100" s="302" customFormat="1" ht="105.75" customHeight="1" thickBot="1" x14ac:dyDescent="0.3">
      <c r="A6" s="550"/>
      <c r="B6" s="548"/>
      <c r="C6" s="355" t="str">
        <f>LEFT(STRINGA!B2,MAX(LEN(STRINGA!B2)-C$2,0))&amp;IF(C$2&lt;&gt;0,",","")&amp;RIGHT(STRINGA!B2,C$2)</f>
        <v>II</v>
      </c>
      <c r="D6" s="356" t="str">
        <f>LEFT(D4,7)&amp;"/"&amp;MID(D4,8,2)&amp;"/"&amp;MID(D4,10,100)</f>
        <v>EU96125/MO/CPBS/23</v>
      </c>
      <c r="E6" s="356" t="str">
        <f>MID(M_ZERI &amp; E4,LEN(M_ZERI &amp; E4)-5,2)&amp;"/"&amp;RIGHT(E4,4)</f>
        <v>01/2023</v>
      </c>
      <c r="F6" s="357" t="str">
        <f>LEFT(STRINGA!E2,MAX(LEN(STRINGA!E2)-F$2,0))&amp;IF(F$2&lt;&gt;0,",","")&amp;RIGHT(STRINGA!E2,F$2)</f>
        <v xml:space="preserve">E3*2010/22/0084*07                 </v>
      </c>
      <c r="G6" s="357" t="str">
        <f>MID(M_ZERI &amp; G4,LEN(M_ZERI &amp; G4)-7,2)&amp;"/"&amp;MID(M_ZERI &amp; G4,LEN(M_ZERI &amp; G4)-5,2)&amp;"/"&amp;RIGHT(G4,4)</f>
        <v>00/00/</v>
      </c>
      <c r="H6" s="356" t="str">
        <f>MID(M_ZERI &amp; H4,LEN(M_ZERI &amp; H4)-5,2)&amp;"/"&amp;RIGHT(H4,4)</f>
        <v>00/</v>
      </c>
      <c r="I6" s="356" t="str">
        <f>LEFT(STRINGA!H2,MAX(LEN(STRINGA!H2)-I$2,0))&amp;IF(I$2&lt;&gt;0,",","")&amp;RIGHT(STRINGA!H2,I$2)</f>
        <v>1S</v>
      </c>
      <c r="J6" s="356" t="str">
        <f>LEFT(STRINGA!I2,MAX(LEN(STRINGA!I2)-J$2,0))&amp;IF(J$2&lt;&gt;0,",","")&amp;RIGHT(STRINGA!I2,J$2)</f>
        <v>A</v>
      </c>
      <c r="K6" s="356" t="str">
        <f>LEFT(STRINGA!J2,MAX(LEN(STRINGA!J2)-K$2,0))&amp;IF(K$2&lt;&gt;0,",","")&amp;RIGHT(STRINGA!J2,K$2)</f>
        <v>B</v>
      </c>
      <c r="L6" s="356" t="str">
        <f>LEFT(STRINGA!K2,MAX(LEN(STRINGA!K2)-L$2,0))&amp;IF(L$2&lt;&gt;0,",","")&amp;RIGHT(STRINGA!K2,L$2)</f>
        <v>S</v>
      </c>
      <c r="M6" s="356" t="str">
        <f>LEFT(STRINGA!L2,MAX(LEN(STRINGA!L2)-M$2,0))&amp;IF(M$2&lt;&gt;0,",","")&amp;RIGHT(STRINGA!L2,M$2)</f>
        <v xml:space="preserve"> </v>
      </c>
      <c r="N6" s="356" t="str">
        <f>LEFT(STRINGA!M2,MAX(LEN(STRINGA!M2)-N$2,0))&amp;IF(N$2&lt;&gt;0,",","")&amp;RIGHT(STRINGA!M2,N$2)</f>
        <v xml:space="preserve"> </v>
      </c>
      <c r="O6" s="357" t="str">
        <f>LEFT(STRINGA!N2,MAX(LEN(STRINGA!N2)-O$2,0))&amp;IF(O$2&lt;&gt;0,",","")&amp;RIGHT(STRINGA!N2,O$2)</f>
        <v xml:space="preserve">BCS ARH2/3 AKV 05B VOLCAN K 105 AR      </v>
      </c>
      <c r="P6" s="358" t="str">
        <f>LEFT(STRINGA!O2,MAX(LEN(STRINGA!O2)-P$2,0))&amp;IF(P$2&lt;&gt;0,",","")&amp;RIGHT(STRINGA!O2,P$2)</f>
        <v>I</v>
      </c>
      <c r="Q6" s="356" t="str">
        <f>LEFT(STRINGA!P2,MAX(LEN(STRINGA!P2)-Q$2,0))&amp;IF(Q$2&lt;&gt;0,",","")&amp;RIGHT(STRINGA!P2,Q$2)</f>
        <v xml:space="preserve">kubota v3800-cr-t-eu3              </v>
      </c>
      <c r="R6" s="356" t="str">
        <f>LEFT(STRINGA!Q2,MAX(LEN(STRINGA!Q2)-R$2,0))&amp;IF(R$2&lt;&gt;0,",","")&amp;RIGHT(STRINGA!Q2,R$2)</f>
        <v xml:space="preserve">G  </v>
      </c>
      <c r="S6" s="356" t="str">
        <f>LEFT(STRINGA!R2,MAX(LEN(STRINGA!R2)-S$2,0))&amp;IF(S$2&lt;&gt;0,",","")&amp;RIGHT(STRINGA!R2,S$2)</f>
        <v>4</v>
      </c>
      <c r="T6" s="356" t="str">
        <f>LEFT(STRINGA!S2,MAX(LEN(STRINGA!S2)-T$2,0))&amp;IF(T$2&lt;&gt;0,",","")&amp;RIGHT(STRINGA!S2,T$2)</f>
        <v>00</v>
      </c>
      <c r="U6" s="356" t="str">
        <f>LEFT(STRINGA!T2,MAX(LEN(STRINGA!T2)-U$2,0))&amp;IF(U$2&lt;&gt;0,",","")&amp;RIGHT(STRINGA!T2,U$2)</f>
        <v>03769</v>
      </c>
      <c r="V6" s="356" t="str">
        <f>LEFT(STRINGA!U2,MAX(LEN(STRINGA!U2)-V$2,0))&amp;IF(V$2&lt;&gt;0,",","")&amp;RIGHT(STRINGA!U2,V$2)</f>
        <v>721,0</v>
      </c>
      <c r="W6" s="356" t="str">
        <f>LEFT(STRINGA!V2,MAX(LEN(STRINGA!V2)-W$2,0))&amp;IF(W$2&lt;&gt;0,",","")&amp;RIGHT(STRINGA!V2,W$2)</f>
        <v xml:space="preserve">                    </v>
      </c>
      <c r="X6" s="356" t="str">
        <f>LEFT(STRINGA!W2,MAX(LEN(STRINGA!W2)-X$2,0))&amp;IF(X$2&lt;&gt;0,",","")&amp;RIGHT(STRINGA!W2,X$2)</f>
        <v>000</v>
      </c>
      <c r="Y6" s="356" t="str">
        <f>LEFT(STRINGA!X2,MAX(LEN(STRINGA!X2)-Y$2,0))&amp;IF(Y$2&lt;&gt;0,",","")&amp;RIGHT(STRINGA!X2,Y$2)</f>
        <v>0000</v>
      </c>
      <c r="Z6" s="356" t="str">
        <f>LEFT(STRINGA!Y2,MAX(LEN(STRINGA!Y2)-Z$2,0))&amp;IF(Z$2&lt;&gt;0,",","")&amp;RIGHT(STRINGA!Y2,Z$2)</f>
        <v>04295</v>
      </c>
      <c r="AA6" s="356" t="str">
        <f>LEFT(STRINGA!Z2,MAX(LEN(STRINGA!Z2)-AA$2,0))&amp;IF(AA$2&lt;&gt;0,",","")&amp;RIGHT(STRINGA!Z2,AA$2)</f>
        <v>1650</v>
      </c>
      <c r="AB6" s="356" t="str">
        <f>LEFT(STRINGA!AA2,MAX(LEN(STRINGA!AA2)-AB$2,0))&amp;IF(AB$2&lt;&gt;0,",","")&amp;RIGHT(STRINGA!AA2,AB$2)</f>
        <v>1350</v>
      </c>
      <c r="AC6" s="356" t="str">
        <f>LEFT(STRINGA!AB2,MAX(LEN(STRINGA!AB2)-AC$2,0))&amp;IF(AC$2&lt;&gt;0,",","")&amp;RIGHT(STRINGA!AB2,AC$2)</f>
        <v>1450</v>
      </c>
      <c r="AD6" s="356" t="str">
        <f>LEFT(STRINGA!AC2,MAX(LEN(STRINGA!AC2)-AD$2,0))&amp;IF(AD$2&lt;&gt;0,",","")&amp;RIGHT(STRINGA!AC2,AD$2)</f>
        <v>3,50</v>
      </c>
      <c r="AE6" s="356" t="str">
        <f>LEFT(STRINGA!AD2,MAX(LEN(STRINGA!AD2)-AE$2,0))&amp;IF(AE$2&lt;&gt;0,",","")&amp;RIGHT(STRINGA!AD2,AE$2)</f>
        <v xml:space="preserve"> </v>
      </c>
      <c r="AF6" s="356" t="str">
        <f>LEFT(STRINGA!AE2,MAX(LEN(STRINGA!AE2)-AF$2,0))&amp;IF(AF$2&lt;&gt;0,",","")&amp;RIGHT(STRINGA!AE2,AF$2)</f>
        <v>1495</v>
      </c>
      <c r="AG6" s="356" t="str">
        <f>LEFT(STRINGA!AF2,MAX(LEN(STRINGA!AF2)-AG$2,0))&amp;IF(AG$2&lt;&gt;0,",","")&amp;RIGHT(STRINGA!AF2,AG$2)</f>
        <v>0000</v>
      </c>
      <c r="AH6" s="356" t="str">
        <f>LEFT(STRINGA!AG2,MAX(LEN(STRINGA!AG2)-AH$2,0))&amp;IF(AH$2&lt;&gt;0,",","")&amp;RIGHT(STRINGA!AG2,AH$2)</f>
        <v>0000</v>
      </c>
      <c r="AI6" s="356" t="str">
        <f>LEFT(STRINGA!AH2,MAX(LEN(STRINGA!AH2)-AI$2,0))&amp;IF(AI$2&lt;&gt;0,",","")&amp;RIGHT(STRINGA!AH2,AI$2)</f>
        <v>02</v>
      </c>
      <c r="AJ6" s="356" t="str">
        <f>LEFT(STRINGA!AI2,MAX(LEN(STRINGA!AI2)-AJ$2,0))&amp;IF(AJ$2&lt;&gt;0,",","")&amp;RIGHT(STRINGA!AI2,AJ$2)</f>
        <v>03500</v>
      </c>
      <c r="AK6" s="356" t="str">
        <f>LEFT(STRINGA!AJ2,MAX(LEN(STRINGA!AJ2)-AK$2,0))&amp;IF(AK$2&lt;&gt;0,",","")&amp;RIGHT(STRINGA!AJ2,AK$2)</f>
        <v>003500</v>
      </c>
      <c r="AL6" s="356" t="str">
        <f>LEFT(STRINGA!AK2,MAX(LEN(STRINGA!AK2)-AL$2,0))&amp;IF(AL$2&lt;&gt;0,",","")&amp;RIGHT(STRINGA!AK2,AL$2)</f>
        <v>003500</v>
      </c>
      <c r="AM6" s="356" t="str">
        <f>LEFT(STRINGA!AL2,MAX(LEN(STRINGA!AL2)-AM$2,0))&amp;IF(AM$2&lt;&gt;0,",","")&amp;RIGHT(STRINGA!AL2,AM$2)</f>
        <v>00000</v>
      </c>
      <c r="AN6" s="356" t="str">
        <f>LEFT(STRINGA!AM2,MAX(LEN(STRINGA!AM2)-AN$2,0))&amp;IF(AN$2&lt;&gt;0,",","")&amp;RIGHT(STRINGA!AM2,AN$2)</f>
        <v>0</v>
      </c>
      <c r="AO6" s="511" t="str">
        <f>LEFT(STRINGA!AN2,MAX(LEN(STRINGA!AN2)-AO$2,0))&amp;IF(AO$2&lt;&gt;0,",","")&amp;RIGHT(STRINGA!AN2,AO$2)</f>
        <v>00000</v>
      </c>
      <c r="AP6" s="511" t="str">
        <f>LEFT(STRINGA!AO2,MAX(LEN(STRINGA!AO2)-AP$2,0))&amp;IF(AP$2&lt;&gt;0,",","")&amp;RIGHT(STRINGA!AO2,AP$2)</f>
        <v>0</v>
      </c>
      <c r="AQ6" s="356" t="str">
        <f>LEFT(STRINGA!AP2,MAX(LEN(STRINGA!AP2)-AQ$2,0))&amp;IF(AQ$2&lt;&gt;0,",","")&amp;RIGHT(STRINGA!AP2,AQ$2)</f>
        <v xml:space="preserve"> </v>
      </c>
      <c r="AR6" s="356" t="str">
        <f>LEFT(STRINGA!AQ2,MAX(LEN(STRINGA!AQ2)-AR$2,0))&amp;IF(AR$2&lt;&gt;0,",","")&amp;RIGHT(STRINGA!AQ2,AR$2)</f>
        <v xml:space="preserve">340/65 R20 124A8 121B S.S.                                       </v>
      </c>
      <c r="AS6" s="356" t="str">
        <f>LEFT(STRINGA!AR2,MAX(LEN(STRINGA!AR2)-AS$2,0))&amp;IF(AS$2&lt;&gt;0,",","")&amp;RIGHT(STRINGA!AR2,AS$2)</f>
        <v xml:space="preserve"> </v>
      </c>
      <c r="AT6" s="356" t="str">
        <f>LEFT(STRINGA!AS2,MAX(LEN(STRINGA!AS2)-AT$2,0))&amp;IF(AT$2&lt;&gt;0,",","")&amp;RIGHT(STRINGA!AS2,AT$2)</f>
        <v xml:space="preserve"> </v>
      </c>
      <c r="AU6" s="356" t="str">
        <f>LEFT(STRINGA!AT2,MAX(LEN(STRINGA!AT2)-AU$2,0))&amp;IF(AU$2&lt;&gt;0,",","")&amp;RIGHT(STRINGA!AT2,AU$2)</f>
        <v>008</v>
      </c>
      <c r="AV6" s="356" t="str">
        <f>LEFT(STRINGA!AU2,MAX(LEN(STRINGA!AU2)-AV$2,0))&amp;IF(AV$2&lt;&gt;0,",","")&amp;RIGHT(STRINGA!AU2,AV$2)</f>
        <v>40,4</v>
      </c>
      <c r="AW6" s="356" t="str">
        <f>LEFT(STRINGA!AV2,MAX(LEN(STRINGA!AV2)-AW$2,0))&amp;IF(AW$2&lt;&gt;0,",","")&amp;RIGHT(STRINGA!AV2,AW$2)</f>
        <v>38,4</v>
      </c>
      <c r="AX6" s="356" t="str">
        <f>LEFT(STRINGA!AW2,MAX(LEN(STRINGA!AW2)-AX$2,0))&amp;IF(AX$2&lt;&gt;0,",","")&amp;RIGHT(STRINGA!AW2,AX$2)</f>
        <v>MO</v>
      </c>
      <c r="AY6" s="356" t="str">
        <f>LEFT(STRINGA!AX2,MAX(LEN(STRINGA!AX2)-AY$2,0))&amp;IF(AY$2&lt;&gt;0,",","")&amp;RIGHT(STRINGA!AX2,AY$2)</f>
        <v xml:space="preserve">                                                     </v>
      </c>
      <c r="AZ6" s="356" t="str">
        <f>LEFT(STRINGA!AY2,MAX(LEN(STRINGA!AY2)-AZ$2,0))&amp;IF(AZ$2&lt;&gt;0,",","")&amp;RIGHT(STRINGA!AY2,AZ$2)</f>
        <v>M</v>
      </c>
      <c r="BA6" s="356" t="str">
        <f>LEFT(STRINGA!AZ2,MAX(LEN(STRINGA!AZ2)-BA$2,0))&amp;IF(BA$2&lt;&gt;0,",","")&amp;RIGHT(STRINGA!AZ2,BA$2)</f>
        <v xml:space="preserve"> </v>
      </c>
      <c r="BB6" s="356" t="str">
        <f>LEFT(STRINGA!BA2,MAX(LEN(STRINGA!BA2)-BB$2,0))&amp;IF(BB$2&lt;&gt;0,",","")&amp;RIGHT(STRINGA!BA2,BB$2)</f>
        <v xml:space="preserve"> </v>
      </c>
      <c r="BC6" s="356" t="str">
        <f>LEFT(STRINGA!BB2,MAX(LEN(STRINGA!BB2)-BC$2,0))&amp;IF(BC$2&lt;&gt;0,",","")&amp;RIGHT(STRINGA!BB2,BC$2)</f>
        <v xml:space="preserve"> </v>
      </c>
      <c r="BD6" s="356" t="str">
        <f>LEFT(STRINGA!BC2,MAX(LEN(STRINGA!BC2)-BD$2,0))&amp;IF(BD$2&lt;&gt;0,",","")&amp;RIGHT(STRINGA!BC2,BD$2)</f>
        <v xml:space="preserve"> </v>
      </c>
      <c r="BE6" s="356" t="str">
        <f>LEFT(STRINGA!BD2,MAX(LEN(STRINGA!BD2)-BE$2,0))&amp;IF(BE$2&lt;&gt;0,",","")&amp;RIGHT(STRINGA!BD2,BE$2)</f>
        <v>MO</v>
      </c>
      <c r="BF6" s="356" t="str">
        <f>LEFT(STRINGA!BE2,MAX(LEN(STRINGA!BE2)-BF$2,0))&amp;IF(BF$2&lt;&gt;0,",","")&amp;RIGHT(STRINGA!BE2,BF$2)</f>
        <v xml:space="preserve">  </v>
      </c>
      <c r="BG6" s="356" t="str">
        <f>LEFT(STRINGA!BF2,MAX(LEN(STRINGA!BF2)-BG$2,0))&amp;IF(BG$2&lt;&gt;0,",","")&amp;RIGHT(STRINGA!BF2,BG$2)</f>
        <v xml:space="preserve">  </v>
      </c>
      <c r="BH6" s="356" t="str">
        <f>LEFT(STRINGA!BG2,MAX(LEN(STRINGA!BG2)-BH$2,0))&amp;IF(BH$2&lt;&gt;0,",","")&amp;RIGHT(STRINGA!BG2,BH$2)</f>
        <v xml:space="preserve">  </v>
      </c>
      <c r="BI6" s="356" t="str">
        <f>LEFT(STRINGA!BH2,MAX(LEN(STRINGA!BH2)-BI$2,0))&amp;IF(BI$2&lt;&gt;0,",","")&amp;RIGHT(STRINGA!BH2,BI$2)</f>
        <v xml:space="preserve">  </v>
      </c>
      <c r="BJ6" s="356" t="str">
        <f>LEFT(STRINGA!BI2,MAX(LEN(STRINGA!BI2)-BJ$2,0))&amp;IF(BJ$2&lt;&gt;0,",","")&amp;RIGHT(STRINGA!BI2,BJ$2)</f>
        <v>04295</v>
      </c>
      <c r="BK6" s="356" t="str">
        <f>LEFT(STRINGA!BJ2,MAX(LEN(STRINGA!BJ2)-BK$2,0))&amp;IF(BK$2&lt;&gt;0,",","")&amp;RIGHT(STRINGA!BJ2,BK$2)</f>
        <v>1350</v>
      </c>
      <c r="BL6" s="356" t="str">
        <f>LEFT(STRINGA!BK2,MAX(LEN(STRINGA!BK2)-BL$2,0))&amp;IF(BL$2&lt;&gt;0,",","")&amp;RIGHT(STRINGA!BK2,BL$2)</f>
        <v>1450</v>
      </c>
      <c r="BM6" s="356" t="str">
        <f>LEFT(STRINGA!BL2,MAX(LEN(STRINGA!BL2)-BM$2,0))&amp;IF(BM$2&lt;&gt;0,",","")&amp;RIGHT(STRINGA!BL2,BM$2)</f>
        <v>1650</v>
      </c>
      <c r="BN6" s="356" t="str">
        <f>LEFT(STRINGA!BM2,MAX(LEN(STRINGA!BM2)-BN$2,0))&amp;IF(BN$2&lt;&gt;0,",","")&amp;RIGHT(STRINGA!BM2,BN$2)</f>
        <v>3,50</v>
      </c>
      <c r="BO6" s="359" t="str">
        <f>LEFT(STRINGA!BN2,MAX(LEN(STRINGA!BN2)-BO$2,0))&amp;IF(BO$2&lt;&gt;0,",","")&amp;RIGHT(STRINGA!BN2,BO$2)</f>
        <v xml:space="preserve">   </v>
      </c>
      <c r="BP6" s="360" t="str">
        <f>LEFT(STRINGA!BO2,MAX(LEN(STRINGA!BO2)-BP$2,0))&amp;IF(BP$2&lt;&gt;0,",","")&amp;RIGHT(STRINGA!BO2,BP$2)</f>
        <v>00,0</v>
      </c>
      <c r="BQ6" s="356" t="str">
        <f>LEFT(STRINGA!BP2,MAX(LEN(STRINGA!BP2)-BQ$2,0))&amp;IF(BQ$2&lt;&gt;0,",","")&amp;RIGHT(STRINGA!BP2,BQ$2)</f>
        <v>00,0</v>
      </c>
      <c r="BR6" s="356" t="str">
        <f>LEFT(STRINGA!BQ2,MAX(LEN(STRINGA!BQ2)-BR$2,0))&amp;IF(BR$2&lt;&gt;0,",","")&amp;RIGHT(STRINGA!BQ2,BR$2)</f>
        <v>00,0</v>
      </c>
      <c r="BS6" s="356" t="str">
        <f>LEFT(STRINGA!BR2,MAX(LEN(STRINGA!BR2)-BS$2,0))&amp;IF(BS$2&lt;&gt;0,",","")&amp;RIGHT(STRINGA!BR2,BS$2)</f>
        <v>00,0</v>
      </c>
      <c r="BT6" s="356" t="str">
        <f>LEFT(STRINGA!BS2,MAX(LEN(STRINGA!BS2)-BT$2,0))&amp;IF(BT$2&lt;&gt;0,",","")&amp;RIGHT(STRINGA!BS2,BT$2)</f>
        <v>00,0</v>
      </c>
      <c r="BU6" s="356" t="str">
        <f>LEFT(STRINGA!BT2,MAX(LEN(STRINGA!BT2)-BU$2,0))&amp;IF(BU$2&lt;&gt;0,",","")&amp;RIGHT(STRINGA!BT2,BU$2)</f>
        <v>00,0</v>
      </c>
      <c r="BV6" s="356" t="str">
        <f>LEFT(STRINGA!BU2,MAX(LEN(STRINGA!BU2)-BV$2,0))&amp;IF(BV$2&lt;&gt;0,",","")&amp;RIGHT(STRINGA!BU2,BV$2)</f>
        <v>00,00</v>
      </c>
      <c r="BW6" s="356" t="str">
        <f>LEFT(STRINGA!BV2,MAX(LEN(STRINGA!BV2)-BW$2,0))&amp;IF(BW$2&lt;&gt;0,",","")&amp;RIGHT(STRINGA!BV2,BW$2)</f>
        <v>00,00</v>
      </c>
      <c r="BX6" s="356" t="str">
        <f>LEFT(STRINGA!BW2,MAX(LEN(STRINGA!BW2)-BX$2,0))&amp;IF(BX$2&lt;&gt;0,",","")&amp;RIGHT(STRINGA!BW2,BX$2)</f>
        <v>00,0</v>
      </c>
      <c r="BY6" s="356" t="str">
        <f>LEFT(STRINGA!BX2,MAX(LEN(STRINGA!BX2)-BY$2,0))&amp;IF(BY$2&lt;&gt;0,",","")&amp;RIGHT(STRINGA!BX2,BY$2)</f>
        <v>00,0</v>
      </c>
      <c r="BZ6" s="356" t="str">
        <f>LEFT(STRINGA!BY2,MAX(LEN(STRINGA!BY2)-BZ$2,0))&amp;IF(BZ$2&lt;&gt;0,",","")&amp;RIGHT(STRINGA!BY2,BZ$2)</f>
        <v>00,0</v>
      </c>
      <c r="CA6" s="356" t="str">
        <f>LEFT(STRINGA!BZ2,MAX(LEN(STRINGA!BZ2)-CA$2,0))&amp;IF(CA$2&lt;&gt;0,",","")&amp;RIGHT(STRINGA!BZ2,CA$2)</f>
        <v>00</v>
      </c>
      <c r="CB6" s="356" t="str">
        <f>LEFT(STRINGA!CA2,MAX(LEN(STRINGA!CA2)-CB$2,0))&amp;IF(CB$2&lt;&gt;0,",","")&amp;RIGHT(STRINGA!CA2,CB$2)</f>
        <v>00,0</v>
      </c>
      <c r="CC6" s="356" t="str">
        <f>LEFT(STRINGA!CB2,MAX(LEN(STRINGA!CB2)-CC$2,0))&amp;IF(CC$2&lt;&gt;0,",","")&amp;RIGHT(STRINGA!CB2,CC$2)</f>
        <v>00000</v>
      </c>
      <c r="CD6" s="356" t="str">
        <f>LEFT(STRINGA!CC2,MAX(LEN(STRINGA!CC2)-CD$2,0))&amp;IF(CD$2&lt;&gt;0,",","")&amp;RIGHT(STRINGA!CC2,CD$2)</f>
        <v>00,0</v>
      </c>
      <c r="CE6" s="356" t="str">
        <f>LEFT(STRINGA!CD2,MAX(LEN(STRINGA!CD2)-CE$2,0))&amp;IF(CE$2&lt;&gt;0,",","")&amp;RIGHT(STRINGA!CD2,CE$2)</f>
        <v>00</v>
      </c>
      <c r="CF6" s="356" t="str">
        <f>LEFT(STRINGA!CE2,MAX(LEN(STRINGA!CE2)-CF$2,0))&amp;IF(CF$2&lt;&gt;0,",","")&amp;RIGHT(STRINGA!CE2,CF$2)</f>
        <v>000000</v>
      </c>
      <c r="CG6" s="356" t="str">
        <f>LEFT(STRINGA!CF2,MAX(LEN(STRINGA!CF2)-CG$2,0))&amp;IF(CG$2&lt;&gt;0,",","")&amp;RIGHT(STRINGA!CF2,CG$2)</f>
        <v>000000</v>
      </c>
      <c r="CH6" s="356" t="str">
        <f>LEFT(STRINGA!CG2,MAX(LEN(STRINGA!CG2)-CH$2,0))&amp;IF(CH$2&lt;&gt;0,",","")&amp;RIGHT(STRINGA!CG2,CH$2)</f>
        <v>000000</v>
      </c>
      <c r="CI6" s="356" t="str">
        <f>LEFT(STRINGA!CH2,MAX(LEN(STRINGA!CH2)-CI$2,0))&amp;IF(CI$2&lt;&gt;0,",","")&amp;RIGHT(STRINGA!CH2,CI$2)</f>
        <v>00,0</v>
      </c>
      <c r="CJ6" s="356" t="str">
        <f>LEFT(STRINGA!CI2,MAX(LEN(STRINGA!CI2)-CJ$2,0))&amp;IF(CJ$2&lt;&gt;0,",","")&amp;RIGHT(STRINGA!CI2,CJ$2)</f>
        <v>00,0</v>
      </c>
      <c r="CK6" s="356" t="str">
        <f>LEFT(STRINGA!CJ2,MAX(LEN(STRINGA!CJ2)-CK$2,0))&amp;IF(CK$2&lt;&gt;0,",","")&amp;RIGHT(STRINGA!CJ2,CK$2)</f>
        <v>000000</v>
      </c>
      <c r="CL6" s="356" t="str">
        <f>LEFT(STRINGA!CK2,MAX(LEN(STRINGA!CK2)-CL$2,0))&amp;IF(CL$2&lt;&gt;0,",","")&amp;RIGHT(STRINGA!CK2,CL$2)</f>
        <v>00,1</v>
      </c>
      <c r="CM6" s="356" t="str">
        <f>LEFT(STRINGA!CL2,MAX(LEN(STRINGA!CL2)-CM$2,0))&amp;IF(CM$2&lt;&gt;0,",","")&amp;RIGHT(STRINGA!CL2,CM$2)</f>
        <v>05</v>
      </c>
      <c r="CN6" s="356" t="str">
        <f>LEFT(STRINGA!CM2,MAX(LEN(STRINGA!CM2)-CN$2,0))&amp;IF(CN$2&lt;&gt;0,",","")&amp;RIGHT(STRINGA!CM2,CN$2)</f>
        <v>00,0</v>
      </c>
      <c r="CO6" s="361" t="str">
        <f>LEFT(STRINGA!CN2,MAX(LEN(STRINGA!CN2)-CO$2,0))&amp;IF(CO$2&lt;&gt;0,",","")&amp;RIGHT(STRINGA!CN2,CO$2)</f>
        <v>00</v>
      </c>
      <c r="CP6" s="450" t="str">
        <f>descrittive_A!AN18</f>
        <v xml:space="preserve">1       PER MASSE, MASSE RIMORCHIABILI, PNEUMATICI, GANCI DI 
2       TRAINO, CARICHI VERTICALI, CARATTERISTICHE TECNICHE, 
3       ATTREZZATURE PORTATE E SEMIPORTATE, ALLESTIMENTI VARI
4       , PRESCRIZIONI,  SI VEDA L'ALLEGATO TECNICO PARTE IN 
5       TEGRANTE DELLA CARTA DI CIRCOLAZIONE.                
6                                                            
7                                                            
8                                                            
</v>
      </c>
      <c r="CQ6" s="451" t="str">
        <f>descrittive_B!AN18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       ------  RIGA OCCUPATA DA PRESCRIZIONI TECNICHE ------
</v>
      </c>
      <c r="CR6" s="301"/>
    </row>
    <row r="7" spans="1:100" s="76" customFormat="1" ht="117.75" customHeight="1" x14ac:dyDescent="0.25">
      <c r="A7" s="550"/>
      <c r="B7" s="543" t="s">
        <v>105</v>
      </c>
      <c r="C7" s="162"/>
      <c r="D7" s="163"/>
      <c r="E7" s="163"/>
      <c r="F7" s="163"/>
      <c r="G7" s="163"/>
      <c r="H7" s="163"/>
      <c r="I7" s="163"/>
      <c r="J7" s="330"/>
      <c r="K7" s="330"/>
      <c r="L7" s="330"/>
      <c r="M7" s="330"/>
      <c r="N7" s="330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509"/>
      <c r="AP7" s="509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329"/>
      <c r="BP7" s="30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329"/>
      <c r="CP7" s="458"/>
      <c r="CQ7" s="458"/>
      <c r="CR7" s="83"/>
      <c r="CV7" s="77"/>
    </row>
    <row r="8" spans="1:100" s="154" customFormat="1" ht="12.75" customHeight="1" x14ac:dyDescent="0.25">
      <c r="A8" s="550"/>
      <c r="B8" s="544"/>
      <c r="C8" s="362" t="s">
        <v>7</v>
      </c>
      <c r="D8" s="363" t="s">
        <v>7</v>
      </c>
      <c r="E8" s="363" t="s">
        <v>7</v>
      </c>
      <c r="F8" s="363" t="s">
        <v>7</v>
      </c>
      <c r="G8" s="363" t="s">
        <v>7</v>
      </c>
      <c r="H8" s="363" t="s">
        <v>7</v>
      </c>
      <c r="I8" s="363" t="s">
        <v>7</v>
      </c>
      <c r="J8" s="363" t="s">
        <v>7</v>
      </c>
      <c r="K8" s="363" t="s">
        <v>7</v>
      </c>
      <c r="L8" s="363" t="s">
        <v>7</v>
      </c>
      <c r="M8" s="363" t="s">
        <v>7</v>
      </c>
      <c r="N8" s="363" t="s">
        <v>7</v>
      </c>
      <c r="O8" s="363" t="s">
        <v>7</v>
      </c>
      <c r="P8" s="363" t="s">
        <v>7</v>
      </c>
      <c r="Q8" s="363" t="s">
        <v>7</v>
      </c>
      <c r="R8" s="363" t="s">
        <v>7</v>
      </c>
      <c r="S8" s="363" t="s">
        <v>7</v>
      </c>
      <c r="T8" s="363" t="s">
        <v>7</v>
      </c>
      <c r="U8" s="363" t="s">
        <v>7</v>
      </c>
      <c r="V8" s="363" t="s">
        <v>7</v>
      </c>
      <c r="W8" s="363" t="s">
        <v>7</v>
      </c>
      <c r="X8" s="363" t="s">
        <v>7</v>
      </c>
      <c r="Y8" s="363" t="s">
        <v>7</v>
      </c>
      <c r="Z8" s="363" t="str">
        <f>IF(AND($Z7&lt;&gt;"",$AB7&lt;&gt;"",$AC7&lt;&gt;"",$AF7&lt;&gt;"",$Z7+0&lt;&gt;$AB7+$AC7+$AF7+$AG7+$AH7+0),"RICONTROLLARE","ANTEPRIMA")</f>
        <v>ANTEPRIMA</v>
      </c>
      <c r="AA8" s="363" t="s">
        <v>7</v>
      </c>
      <c r="AB8" s="363" t="str">
        <f>IF(AND($Z7&lt;&gt;"",$AB7&lt;&gt;"",$AC7&lt;&gt;"",$AF7&lt;&gt;"",$Z7+0&lt;&gt;$AB7+$AC7+$AF7+$AG7+$AH7+0),"RICONTROLLARE","ANTEPRIMA")</f>
        <v>ANTEPRIMA</v>
      </c>
      <c r="AC8" s="363" t="str">
        <f>IF(AND($Z7&lt;&gt;"",$AB7&lt;&gt;"",$AC7&lt;&gt;"",$AF7&lt;&gt;"",$Z7+0&lt;&gt;$AB7+$AC7+$AF7+$AG7+$AH7+0),"RICONTROLLARE","ANTEPRIMA")</f>
        <v>ANTEPRIMA</v>
      </c>
      <c r="AD8" s="363" t="s">
        <v>7</v>
      </c>
      <c r="AE8" s="363" t="s">
        <v>7</v>
      </c>
      <c r="AF8" s="363" t="str">
        <f>IF(AND($Z7&lt;&gt;"",$AB7&lt;&gt;"",$AC7&lt;&gt;"",$AF7&lt;&gt;"",$Z7+0&lt;&gt;$AB7+$AC7+$AF7+$AG7+$AH7+0),"RICONTROLLARE","ANTEPRIMA")</f>
        <v>ANTEPRIMA</v>
      </c>
      <c r="AG8" s="363" t="str">
        <f>IF(AND($Z7&lt;&gt;"",$AB7&lt;&gt;"",$AC7&lt;&gt;"",$AF7&lt;&gt;"",$Z7+0&lt;&gt;$AB7+$AC7+$AF7+$AG7+$AH7+0),"RICONTROLLARE","ANTEPRIMA")</f>
        <v>ANTEPRIMA</v>
      </c>
      <c r="AH8" s="363" t="str">
        <f>IF(AND($Z7&lt;&gt;"",$AB7&lt;&gt;"",$AC7&lt;&gt;"",$AF7&lt;&gt;"",$Z7+0&lt;&gt;$AB7+$AC7+$AF7+$AG7+$AH7+0),"RICONTROLLARE","ANTEPRIMA")</f>
        <v>ANTEPRIMA</v>
      </c>
      <c r="AI8" s="363" t="str">
        <f>IF(OR(AI7="",4-COUNTBLANK($AF7:$AH7)=VALUE($AI7)),"ANTEPRIMA","RICONTROLLARE")</f>
        <v>ANTEPRIMA</v>
      </c>
      <c r="AJ8" s="363" t="s">
        <v>7</v>
      </c>
      <c r="AK8" s="363" t="s">
        <v>7</v>
      </c>
      <c r="AL8" s="363" t="s">
        <v>7</v>
      </c>
      <c r="AM8" s="363" t="s">
        <v>7</v>
      </c>
      <c r="AN8" s="363" t="s">
        <v>7</v>
      </c>
      <c r="AO8" s="512" t="s">
        <v>7</v>
      </c>
      <c r="AP8" s="512" t="s">
        <v>7</v>
      </c>
      <c r="AQ8" s="363" t="s">
        <v>7</v>
      </c>
      <c r="AR8" s="363" t="s">
        <v>7</v>
      </c>
      <c r="AS8" s="363" t="s">
        <v>7</v>
      </c>
      <c r="AT8" s="363" t="s">
        <v>7</v>
      </c>
      <c r="AU8" s="363" t="s">
        <v>7</v>
      </c>
      <c r="AV8" s="363" t="s">
        <v>7</v>
      </c>
      <c r="AW8" s="363" t="s">
        <v>7</v>
      </c>
      <c r="AX8" s="363" t="s">
        <v>7</v>
      </c>
      <c r="AY8" s="363" t="s">
        <v>7</v>
      </c>
      <c r="AZ8" s="363" t="s">
        <v>7</v>
      </c>
      <c r="BA8" s="363" t="s">
        <v>7</v>
      </c>
      <c r="BB8" s="363" t="s">
        <v>7</v>
      </c>
      <c r="BC8" s="363" t="s">
        <v>7</v>
      </c>
      <c r="BD8" s="363" t="s">
        <v>7</v>
      </c>
      <c r="BE8" s="363" t="s">
        <v>7</v>
      </c>
      <c r="BF8" s="363" t="s">
        <v>7</v>
      </c>
      <c r="BG8" s="363" t="s">
        <v>7</v>
      </c>
      <c r="BH8" s="363" t="s">
        <v>7</v>
      </c>
      <c r="BI8" s="363" t="s">
        <v>7</v>
      </c>
      <c r="BJ8" s="363" t="s">
        <v>7</v>
      </c>
      <c r="BK8" s="363" t="s">
        <v>7</v>
      </c>
      <c r="BL8" s="363" t="s">
        <v>7</v>
      </c>
      <c r="BM8" s="363" t="s">
        <v>7</v>
      </c>
      <c r="BN8" s="363" t="s">
        <v>7</v>
      </c>
      <c r="BO8" s="364" t="s">
        <v>7</v>
      </c>
      <c r="BP8" s="365" t="s">
        <v>7</v>
      </c>
      <c r="BQ8" s="363" t="s">
        <v>7</v>
      </c>
      <c r="BR8" s="363" t="s">
        <v>7</v>
      </c>
      <c r="BS8" s="363" t="s">
        <v>7</v>
      </c>
      <c r="BT8" s="363" t="s">
        <v>7</v>
      </c>
      <c r="BU8" s="363" t="s">
        <v>7</v>
      </c>
      <c r="BV8" s="363" t="s">
        <v>7</v>
      </c>
      <c r="BW8" s="363" t="s">
        <v>7</v>
      </c>
      <c r="BX8" s="363" t="s">
        <v>7</v>
      </c>
      <c r="BY8" s="363" t="s">
        <v>7</v>
      </c>
      <c r="BZ8" s="363" t="s">
        <v>7</v>
      </c>
      <c r="CA8" s="363" t="s">
        <v>7</v>
      </c>
      <c r="CB8" s="363" t="s">
        <v>7</v>
      </c>
      <c r="CC8" s="363" t="s">
        <v>7</v>
      </c>
      <c r="CD8" s="363" t="s">
        <v>7</v>
      </c>
      <c r="CE8" s="363" t="s">
        <v>7</v>
      </c>
      <c r="CF8" s="363" t="s">
        <v>7</v>
      </c>
      <c r="CG8" s="363" t="s">
        <v>7</v>
      </c>
      <c r="CH8" s="363" t="s">
        <v>7</v>
      </c>
      <c r="CI8" s="363" t="s">
        <v>7</v>
      </c>
      <c r="CJ8" s="363" t="s">
        <v>7</v>
      </c>
      <c r="CK8" s="363" t="s">
        <v>7</v>
      </c>
      <c r="CL8" s="363" t="s">
        <v>7</v>
      </c>
      <c r="CM8" s="363" t="s">
        <v>7</v>
      </c>
      <c r="CN8" s="366" t="s">
        <v>7</v>
      </c>
      <c r="CO8" s="367" t="s">
        <v>7</v>
      </c>
      <c r="CP8" s="368" t="str">
        <f>"ANTEPRIMA"&amp;descrittive_A!AG42&amp;"                                                       CARATTERI RIMANENTI: "&amp;descrittive_A!J30</f>
        <v>ANTEPRIMA                                                                                           CARATTERI RIMANENTI: 424</v>
      </c>
      <c r="CQ8" s="369" t="str">
        <f>"ANTEPRIMA"&amp;descrittive_B!AG38&amp;"                                                       CARATTERI RIMANENTI: "&amp;descrittive_B!J26</f>
        <v>ANTEPRIMA                                                                                           CARATTERI RIMANENTI: 424</v>
      </c>
      <c r="CR8" s="153"/>
    </row>
    <row r="9" spans="1:100" s="302" customFormat="1" ht="102.75" customHeight="1" thickBot="1" x14ac:dyDescent="0.3">
      <c r="A9" s="550"/>
      <c r="B9" s="545"/>
      <c r="C9" s="370" t="str">
        <f>LEFT(STRINGA!B3,MAX(LEN(STRINGA!B3)-C$2,0))&amp;IF(C$2&lt;&gt;0,",","")&amp;RIGHT(STRINGA!B3,C$2)</f>
        <v xml:space="preserve">  </v>
      </c>
      <c r="D9" s="371" t="str">
        <f>LEFT(D7,7)&amp;"/"&amp;MID(D7,8,2)&amp;"/"&amp;MID(D7,10,100)</f>
        <v>//</v>
      </c>
      <c r="E9" s="371" t="str">
        <f>MID(M_ZERI &amp; E7,LEN(M_ZERI &amp; E7)-5,2)&amp;"/"&amp;RIGHT(E7,4)</f>
        <v>00/</v>
      </c>
      <c r="F9" s="371" t="str">
        <f>LEFT(STRINGA!E3,MAX(LEN(STRINGA!E3)-F$2,0))&amp;IF(F$2&lt;&gt;0,",","")&amp;RIGHT(STRINGA!E3,F$2)</f>
        <v xml:space="preserve">                                   </v>
      </c>
      <c r="G9" s="371" t="str">
        <f>MID(M_ZERI &amp; G7,LEN(M_ZERI &amp; G7)-7,2)&amp;"/"&amp;MID(M_ZERI &amp; G7,LEN(M_ZERI &amp; G7)-5,2)&amp;"/"&amp;RIGHT(G7,4)</f>
        <v>00/00/</v>
      </c>
      <c r="H9" s="371" t="str">
        <f>MID(M_ZERI &amp; H7,LEN(M_ZERI &amp; H7)-5,2)&amp;"/"&amp;RIGHT(H7,4)</f>
        <v>00/</v>
      </c>
      <c r="I9" s="371" t="str">
        <f>LEFT(STRINGA!H3,MAX(LEN(STRINGA!H3)-I$2,0))&amp;IF(I$2&lt;&gt;0,",","")&amp;RIGHT(STRINGA!H3,I$2)</f>
        <v xml:space="preserve">  </v>
      </c>
      <c r="J9" s="371" t="str">
        <f>LEFT(STRINGA!I3,MAX(LEN(STRINGA!I3)-J$2,0))&amp;IF(J$2&lt;&gt;0,",","")&amp;RIGHT(STRINGA!I3,J$2)</f>
        <v xml:space="preserve"> </v>
      </c>
      <c r="K9" s="371" t="str">
        <f>LEFT(STRINGA!J3,MAX(LEN(STRINGA!J3)-K$2,0))&amp;IF(K$2&lt;&gt;0,",","")&amp;RIGHT(STRINGA!J3,K$2)</f>
        <v xml:space="preserve"> </v>
      </c>
      <c r="L9" s="371" t="str">
        <f>LEFT(STRINGA!K3,MAX(LEN(STRINGA!K3)-L$2,0))&amp;IF(L$2&lt;&gt;0,",","")&amp;RIGHT(STRINGA!K3,L$2)</f>
        <v xml:space="preserve"> </v>
      </c>
      <c r="M9" s="371" t="str">
        <f>LEFT(STRINGA!L3,MAX(LEN(STRINGA!L3)-M$2,0))&amp;IF(M$2&lt;&gt;0,",","")&amp;RIGHT(STRINGA!L3,M$2)</f>
        <v xml:space="preserve"> </v>
      </c>
      <c r="N9" s="371" t="str">
        <f>LEFT(STRINGA!M3,MAX(LEN(STRINGA!M3)-N$2,0))&amp;IF(N$2&lt;&gt;0,",","")&amp;RIGHT(STRINGA!M3,N$2)</f>
        <v xml:space="preserve"> </v>
      </c>
      <c r="O9" s="372" t="str">
        <f>LEFT(STRINGA!N3,MAX(LEN(STRINGA!N3)-O$2,0))&amp;IF(O$2&lt;&gt;0,",","")&amp;RIGHT(STRINGA!N3,O$2)</f>
        <v xml:space="preserve">                                        </v>
      </c>
      <c r="P9" s="371" t="str">
        <f>LEFT(STRINGA!O3,MAX(LEN(STRINGA!O3)-P$2,0))&amp;IF(P$2&lt;&gt;0,",","")&amp;RIGHT(STRINGA!O3,P$2)</f>
        <v xml:space="preserve"> </v>
      </c>
      <c r="Q9" s="371" t="str">
        <f>LEFT(STRINGA!P3,MAX(LEN(STRINGA!P3)-Q$2,0))&amp;IF(Q$2&lt;&gt;0,",","")&amp;RIGHT(STRINGA!P3,Q$2)</f>
        <v xml:space="preserve">                                   </v>
      </c>
      <c r="R9" s="371" t="str">
        <f>LEFT(STRINGA!Q3,MAX(LEN(STRINGA!Q3)-R$2,0))&amp;IF(R$2&lt;&gt;0,",","")&amp;RIGHT(STRINGA!Q3,R$2)</f>
        <v xml:space="preserve">   </v>
      </c>
      <c r="S9" s="371" t="str">
        <f>LEFT(STRINGA!R3,MAX(LEN(STRINGA!R3)-S$2,0))&amp;IF(S$2&lt;&gt;0,",","")&amp;RIGHT(STRINGA!R3,S$2)</f>
        <v xml:space="preserve"> </v>
      </c>
      <c r="T9" s="371" t="str">
        <f>LEFT(STRINGA!S3,MAX(LEN(STRINGA!S3)-T$2,0))&amp;IF(T$2&lt;&gt;0,",","")&amp;RIGHT(STRINGA!S3,T$2)</f>
        <v>00</v>
      </c>
      <c r="U9" s="371" t="str">
        <f>LEFT(STRINGA!T3,MAX(LEN(STRINGA!T3)-U$2,0))&amp;IF(U$2&lt;&gt;0,",","")&amp;RIGHT(STRINGA!T3,U$2)</f>
        <v>00000</v>
      </c>
      <c r="V9" s="371" t="str">
        <f>LEFT(STRINGA!U3,MAX(LEN(STRINGA!U3)-V$2,0))&amp;IF(V$2&lt;&gt;0,",","")&amp;RIGHT(STRINGA!U3,V$2)</f>
        <v>000,0</v>
      </c>
      <c r="W9" s="371" t="str">
        <f>LEFT(STRINGA!V3,MAX(LEN(STRINGA!V3)-W$2,0))&amp;IF(W$2&lt;&gt;0,",","")&amp;RIGHT(STRINGA!V3,W$2)</f>
        <v xml:space="preserve">                    </v>
      </c>
      <c r="X9" s="371" t="str">
        <f>LEFT(STRINGA!W3,MAX(LEN(STRINGA!W3)-X$2,0))&amp;IF(X$2&lt;&gt;0,",","")&amp;RIGHT(STRINGA!W3,X$2)</f>
        <v>000</v>
      </c>
      <c r="Y9" s="371" t="str">
        <f>LEFT(STRINGA!X3,MAX(LEN(STRINGA!X3)-Y$2,0))&amp;IF(Y$2&lt;&gt;0,",","")&amp;RIGHT(STRINGA!X3,Y$2)</f>
        <v>0000</v>
      </c>
      <c r="Z9" s="371" t="str">
        <f>LEFT(STRINGA!Y3,MAX(LEN(STRINGA!Y3)-Z$2,0))&amp;IF(Z$2&lt;&gt;0,",","")&amp;RIGHT(STRINGA!Y3,Z$2)</f>
        <v>00000</v>
      </c>
      <c r="AA9" s="371" t="str">
        <f>LEFT(STRINGA!Z3,MAX(LEN(STRINGA!Z3)-AA$2,0))&amp;IF(AA$2&lt;&gt;0,",","")&amp;RIGHT(STRINGA!Z3,AA$2)</f>
        <v>0000</v>
      </c>
      <c r="AB9" s="371" t="str">
        <f>LEFT(STRINGA!AA3,MAX(LEN(STRINGA!AA3)-AB$2,0))&amp;IF(AB$2&lt;&gt;0,",","")&amp;RIGHT(STRINGA!AA3,AB$2)</f>
        <v>0000</v>
      </c>
      <c r="AC9" s="371" t="str">
        <f>LEFT(STRINGA!AB3,MAX(LEN(STRINGA!AB3)-AC$2,0))&amp;IF(AC$2&lt;&gt;0,",","")&amp;RIGHT(STRINGA!AB3,AC$2)</f>
        <v>0000</v>
      </c>
      <c r="AD9" s="371" t="str">
        <f>LEFT(STRINGA!AC3,MAX(LEN(STRINGA!AC3)-AD$2,0))&amp;IF(AD$2&lt;&gt;0,",","")&amp;RIGHT(STRINGA!AC3,AD$2)</f>
        <v>0,00</v>
      </c>
      <c r="AE9" s="371" t="str">
        <f>LEFT(STRINGA!AD3,MAX(LEN(STRINGA!AD3)-AE$2,0))&amp;IF(AE$2&lt;&gt;0,",","")&amp;RIGHT(STRINGA!AD3,AE$2)</f>
        <v xml:space="preserve"> </v>
      </c>
      <c r="AF9" s="371" t="str">
        <f>LEFT(STRINGA!AE3,MAX(LEN(STRINGA!AE3)-AF$2,0))&amp;IF(AF$2&lt;&gt;0,",","")&amp;RIGHT(STRINGA!AE3,AF$2)</f>
        <v>0000</v>
      </c>
      <c r="AG9" s="371" t="str">
        <f>LEFT(STRINGA!AF3,MAX(LEN(STRINGA!AF3)-AG$2,0))&amp;IF(AG$2&lt;&gt;0,",","")&amp;RIGHT(STRINGA!AF3,AG$2)</f>
        <v>0000</v>
      </c>
      <c r="AH9" s="371" t="str">
        <f>LEFT(STRINGA!AG3,MAX(LEN(STRINGA!AG3)-AH$2,0))&amp;IF(AH$2&lt;&gt;0,",","")&amp;RIGHT(STRINGA!AG3,AH$2)</f>
        <v>0000</v>
      </c>
      <c r="AI9" s="371" t="str">
        <f>LEFT(STRINGA!AH3,MAX(LEN(STRINGA!AH3)-AI$2,0))&amp;IF(AI$2&lt;&gt;0,",","")&amp;RIGHT(STRINGA!AH3,AI$2)</f>
        <v>00</v>
      </c>
      <c r="AJ9" s="371" t="str">
        <f>LEFT(STRINGA!AI3,MAX(LEN(STRINGA!AI3)-AJ$2,0))&amp;IF(AJ$2&lt;&gt;0,",","")&amp;RIGHT(STRINGA!AI3,AJ$2)</f>
        <v>00000</v>
      </c>
      <c r="AK9" s="371" t="str">
        <f>LEFT(STRINGA!AJ3,MAX(LEN(STRINGA!AJ3)-AK$2,0))&amp;IF(AK$2&lt;&gt;0,",","")&amp;RIGHT(STRINGA!AJ3,AK$2)</f>
        <v>000000</v>
      </c>
      <c r="AL9" s="371" t="str">
        <f>LEFT(STRINGA!AK3,MAX(LEN(STRINGA!AK3)-AL$2,0))&amp;IF(AL$2&lt;&gt;0,",","")&amp;RIGHT(STRINGA!AK3,AL$2)</f>
        <v>000000</v>
      </c>
      <c r="AM9" s="371" t="str">
        <f>LEFT(STRINGA!AL3,MAX(LEN(STRINGA!AL3)-AM$2,0))&amp;IF(AM$2&lt;&gt;0,",","")&amp;RIGHT(STRINGA!AL3,AM$2)</f>
        <v>00000</v>
      </c>
      <c r="AN9" s="371" t="str">
        <f>LEFT(STRINGA!AM3,MAX(LEN(STRINGA!AM3)-AN$2,0))&amp;IF(AN$2&lt;&gt;0,",","")&amp;RIGHT(STRINGA!AM3,AN$2)</f>
        <v>0</v>
      </c>
      <c r="AO9" s="513" t="str">
        <f>LEFT(STRINGA!AN3,MAX(LEN(STRINGA!AN3)-AO$2,0))&amp;IF(AO$2&lt;&gt;0,",","")&amp;RIGHT(STRINGA!AN3,AO$2)</f>
        <v>00000</v>
      </c>
      <c r="AP9" s="513" t="str">
        <f>LEFT(STRINGA!AO3,MAX(LEN(STRINGA!AO3)-AP$2,0))&amp;IF(AP$2&lt;&gt;0,",","")&amp;RIGHT(STRINGA!AO3,AP$2)</f>
        <v>0</v>
      </c>
      <c r="AQ9" s="371" t="str">
        <f>LEFT(STRINGA!AP3,MAX(LEN(STRINGA!AP3)-AQ$2,0))&amp;IF(AQ$2&lt;&gt;0,",","")&amp;RIGHT(STRINGA!AP3,AQ$2)</f>
        <v xml:space="preserve"> </v>
      </c>
      <c r="AR9" s="371" t="str">
        <f>LEFT(STRINGA!AQ3,MAX(LEN(STRINGA!AQ3)-AR$2,0))&amp;IF(AR$2&lt;&gt;0,",","")&amp;RIGHT(STRINGA!AQ3,AR$2)</f>
        <v xml:space="preserve">                                                                 </v>
      </c>
      <c r="AS9" s="371" t="str">
        <f>LEFT(STRINGA!AR3,MAX(LEN(STRINGA!AR3)-AS$2,0))&amp;IF(AS$2&lt;&gt;0,",","")&amp;RIGHT(STRINGA!AR3,AS$2)</f>
        <v xml:space="preserve"> </v>
      </c>
      <c r="AT9" s="371" t="str">
        <f>LEFT(STRINGA!AS3,MAX(LEN(STRINGA!AS3)-AT$2,0))&amp;IF(AT$2&lt;&gt;0,",","")&amp;RIGHT(STRINGA!AS3,AT$2)</f>
        <v xml:space="preserve"> </v>
      </c>
      <c r="AU9" s="371" t="str">
        <f>LEFT(STRINGA!AT3,MAX(LEN(STRINGA!AT3)-AU$2,0))&amp;IF(AU$2&lt;&gt;0,",","")&amp;RIGHT(STRINGA!AT3,AU$2)</f>
        <v>000</v>
      </c>
      <c r="AV9" s="371" t="str">
        <f>LEFT(STRINGA!AU3,MAX(LEN(STRINGA!AU3)-AV$2,0))&amp;IF(AV$2&lt;&gt;0,",","")&amp;RIGHT(STRINGA!AU3,AV$2)</f>
        <v>00,0</v>
      </c>
      <c r="AW9" s="371" t="str">
        <f>LEFT(STRINGA!AV3,MAX(LEN(STRINGA!AV3)-AW$2,0))&amp;IF(AW$2&lt;&gt;0,",","")&amp;RIGHT(STRINGA!AV3,AW$2)</f>
        <v>00,0</v>
      </c>
      <c r="AX9" s="371" t="str">
        <f>LEFT(STRINGA!AW3,MAX(LEN(STRINGA!AW3)-AX$2,0))&amp;IF(AX$2&lt;&gt;0,",","")&amp;RIGHT(STRINGA!AW3,AX$2)</f>
        <v xml:space="preserve">  </v>
      </c>
      <c r="AY9" s="371" t="str">
        <f>LEFT(STRINGA!AX3,MAX(LEN(STRINGA!AX3)-AY$2,0))&amp;IF(AY$2&lt;&gt;0,",","")&amp;RIGHT(STRINGA!AX3,AY$2)</f>
        <v xml:space="preserve">                                                     </v>
      </c>
      <c r="AZ9" s="371" t="str">
        <f>LEFT(STRINGA!AY3,MAX(LEN(STRINGA!AY3)-AZ$2,0))&amp;IF(AZ$2&lt;&gt;0,",","")&amp;RIGHT(STRINGA!AY3,AZ$2)</f>
        <v xml:space="preserve"> </v>
      </c>
      <c r="BA9" s="371" t="str">
        <f>LEFT(STRINGA!AZ3,MAX(LEN(STRINGA!AZ3)-BA$2,0))&amp;IF(BA$2&lt;&gt;0,",","")&amp;RIGHT(STRINGA!AZ3,BA$2)</f>
        <v xml:space="preserve"> </v>
      </c>
      <c r="BB9" s="371" t="str">
        <f>LEFT(STRINGA!BA3,MAX(LEN(STRINGA!BA3)-BB$2,0))&amp;IF(BB$2&lt;&gt;0,",","")&amp;RIGHT(STRINGA!BA3,BB$2)</f>
        <v xml:space="preserve"> </v>
      </c>
      <c r="BC9" s="371" t="str">
        <f>LEFT(STRINGA!BB3,MAX(LEN(STRINGA!BB3)-BC$2,0))&amp;IF(BC$2&lt;&gt;0,",","")&amp;RIGHT(STRINGA!BB3,BC$2)</f>
        <v xml:space="preserve"> </v>
      </c>
      <c r="BD9" s="371" t="str">
        <f>LEFT(STRINGA!BC3,MAX(LEN(STRINGA!BC3)-BD$2,0))&amp;IF(BD$2&lt;&gt;0,",","")&amp;RIGHT(STRINGA!BC3,BD$2)</f>
        <v xml:space="preserve"> </v>
      </c>
      <c r="BE9" s="371" t="str">
        <f>LEFT(STRINGA!BD3,MAX(LEN(STRINGA!BD3)-BE$2,0))&amp;IF(BE$2&lt;&gt;0,",","")&amp;RIGHT(STRINGA!BD3,BE$2)</f>
        <v xml:space="preserve">  </v>
      </c>
      <c r="BF9" s="371" t="str">
        <f>LEFT(STRINGA!BE3,MAX(LEN(STRINGA!BE3)-BF$2,0))&amp;IF(BF$2&lt;&gt;0,",","")&amp;RIGHT(STRINGA!BE3,BF$2)</f>
        <v xml:space="preserve">  </v>
      </c>
      <c r="BG9" s="371" t="str">
        <f>LEFT(STRINGA!BF3,MAX(LEN(STRINGA!BF3)-BG$2,0))&amp;IF(BG$2&lt;&gt;0,",","")&amp;RIGHT(STRINGA!BF3,BG$2)</f>
        <v xml:space="preserve">  </v>
      </c>
      <c r="BH9" s="371" t="str">
        <f>LEFT(STRINGA!BG3,MAX(LEN(STRINGA!BG3)-BH$2,0))&amp;IF(BH$2&lt;&gt;0,",","")&amp;RIGHT(STRINGA!BG3,BH$2)</f>
        <v xml:space="preserve">  </v>
      </c>
      <c r="BI9" s="371" t="str">
        <f>LEFT(STRINGA!BH3,MAX(LEN(STRINGA!BH3)-BI$2,0))&amp;IF(BI$2&lt;&gt;0,",","")&amp;RIGHT(STRINGA!BH3,BI$2)</f>
        <v xml:space="preserve">  </v>
      </c>
      <c r="BJ9" s="371" t="str">
        <f>LEFT(STRINGA!BI3,MAX(LEN(STRINGA!BI3)-BJ$2,0))&amp;IF(BJ$2&lt;&gt;0,",","")&amp;RIGHT(STRINGA!BI3,BJ$2)</f>
        <v>00000</v>
      </c>
      <c r="BK9" s="371" t="str">
        <f>LEFT(STRINGA!BJ3,MAX(LEN(STRINGA!BJ3)-BK$2,0))&amp;IF(BK$2&lt;&gt;0,",","")&amp;RIGHT(STRINGA!BJ3,BK$2)</f>
        <v>0000</v>
      </c>
      <c r="BL9" s="371" t="str">
        <f>LEFT(STRINGA!BK3,MAX(LEN(STRINGA!BK3)-BL$2,0))&amp;IF(BL$2&lt;&gt;0,",","")&amp;RIGHT(STRINGA!BK3,BL$2)</f>
        <v>0000</v>
      </c>
      <c r="BM9" s="371" t="str">
        <f>LEFT(STRINGA!BL3,MAX(LEN(STRINGA!BL3)-BM$2,0))&amp;IF(BM$2&lt;&gt;0,",","")&amp;RIGHT(STRINGA!BL3,BM$2)</f>
        <v>0000</v>
      </c>
      <c r="BN9" s="371" t="str">
        <f>LEFT(STRINGA!BM3,MAX(LEN(STRINGA!BM3)-BN$2,0))&amp;IF(BN$2&lt;&gt;0,",","")&amp;RIGHT(STRINGA!BM3,BN$2)</f>
        <v>0,00</v>
      </c>
      <c r="BO9" s="373" t="str">
        <f>LEFT(STRINGA!BN3,MAX(LEN(STRINGA!BN3)-BO$2,0))&amp;IF(BO$2&lt;&gt;0,",","")&amp;RIGHT(STRINGA!BN3,BO$2)</f>
        <v xml:space="preserve">   </v>
      </c>
      <c r="BP9" s="374" t="str">
        <f>LEFT(STRINGA!BO3,MAX(LEN(STRINGA!BO3)-BP$2,0))&amp;IF(BP$2&lt;&gt;0,",","")&amp;RIGHT(STRINGA!BO3,BP$2)</f>
        <v>00,0</v>
      </c>
      <c r="BQ9" s="371" t="str">
        <f>LEFT(STRINGA!BP3,MAX(LEN(STRINGA!BP3)-BQ$2,0))&amp;IF(BQ$2&lt;&gt;0,",","")&amp;RIGHT(STRINGA!BP3,BQ$2)</f>
        <v>00,0</v>
      </c>
      <c r="BR9" s="371" t="str">
        <f>LEFT(STRINGA!BQ3,MAX(LEN(STRINGA!BQ3)-BR$2,0))&amp;IF(BR$2&lt;&gt;0,",","")&amp;RIGHT(STRINGA!BQ3,BR$2)</f>
        <v>00,0</v>
      </c>
      <c r="BS9" s="371" t="str">
        <f>LEFT(STRINGA!BR3,MAX(LEN(STRINGA!BR3)-BS$2,0))&amp;IF(BS$2&lt;&gt;0,",","")&amp;RIGHT(STRINGA!BR3,BS$2)</f>
        <v>00,0</v>
      </c>
      <c r="BT9" s="371" t="str">
        <f>LEFT(STRINGA!BS3,MAX(LEN(STRINGA!BS3)-BT$2,0))&amp;IF(BT$2&lt;&gt;0,",","")&amp;RIGHT(STRINGA!BS3,BT$2)</f>
        <v>00,0</v>
      </c>
      <c r="BU9" s="371" t="str">
        <f>LEFT(STRINGA!BT3,MAX(LEN(STRINGA!BT3)-BU$2,0))&amp;IF(BU$2&lt;&gt;0,",","")&amp;RIGHT(STRINGA!BT3,BU$2)</f>
        <v>00,0</v>
      </c>
      <c r="BV9" s="371" t="str">
        <f>LEFT(STRINGA!BU3,MAX(LEN(STRINGA!BU3)-BV$2,0))&amp;IF(BV$2&lt;&gt;0,",","")&amp;RIGHT(STRINGA!BU3,BV$2)</f>
        <v>00,00</v>
      </c>
      <c r="BW9" s="371" t="str">
        <f>LEFT(STRINGA!BV3,MAX(LEN(STRINGA!BV3)-BW$2,0))&amp;IF(BW$2&lt;&gt;0,",","")&amp;RIGHT(STRINGA!BV3,BW$2)</f>
        <v>00,00</v>
      </c>
      <c r="BX9" s="371" t="str">
        <f>LEFT(STRINGA!BW3,MAX(LEN(STRINGA!BW3)-BX$2,0))&amp;IF(BX$2&lt;&gt;0,",","")&amp;RIGHT(STRINGA!BW3,BX$2)</f>
        <v>00,0</v>
      </c>
      <c r="BY9" s="371" t="str">
        <f>LEFT(STRINGA!BX3,MAX(LEN(STRINGA!BX3)-BY$2,0))&amp;IF(BY$2&lt;&gt;0,",","")&amp;RIGHT(STRINGA!BX3,BY$2)</f>
        <v>00,0</v>
      </c>
      <c r="BZ9" s="371" t="str">
        <f>LEFT(STRINGA!BY3,MAX(LEN(STRINGA!BY3)-BZ$2,0))&amp;IF(BZ$2&lt;&gt;0,",","")&amp;RIGHT(STRINGA!BY3,BZ$2)</f>
        <v>00,0</v>
      </c>
      <c r="CA9" s="371" t="str">
        <f>LEFT(STRINGA!BZ3,MAX(LEN(STRINGA!BZ3)-CA$2,0))&amp;IF(CA$2&lt;&gt;0,",","")&amp;RIGHT(STRINGA!BZ3,CA$2)</f>
        <v>00</v>
      </c>
      <c r="CB9" s="371" t="str">
        <f>LEFT(STRINGA!CA3,MAX(LEN(STRINGA!CA3)-CB$2,0))&amp;IF(CB$2&lt;&gt;0,",","")&amp;RIGHT(STRINGA!CA3,CB$2)</f>
        <v>00,0</v>
      </c>
      <c r="CC9" s="371" t="str">
        <f>LEFT(STRINGA!CB3,MAX(LEN(STRINGA!CB3)-CC$2,0))&amp;IF(CC$2&lt;&gt;0,",","")&amp;RIGHT(STRINGA!CB3,CC$2)</f>
        <v>00000</v>
      </c>
      <c r="CD9" s="371" t="str">
        <f>LEFT(STRINGA!CC3,MAX(LEN(STRINGA!CC3)-CD$2,0))&amp;IF(CD$2&lt;&gt;0,",","")&amp;RIGHT(STRINGA!CC3,CD$2)</f>
        <v>00,0</v>
      </c>
      <c r="CE9" s="371" t="str">
        <f>LEFT(STRINGA!CD3,MAX(LEN(STRINGA!CD3)-CE$2,0))&amp;IF(CE$2&lt;&gt;0,",","")&amp;RIGHT(STRINGA!CD3,CE$2)</f>
        <v>00</v>
      </c>
      <c r="CF9" s="371" t="str">
        <f>LEFT(STRINGA!CE3,MAX(LEN(STRINGA!CE3)-CF$2,0))&amp;IF(CF$2&lt;&gt;0,",","")&amp;RIGHT(STRINGA!CE3,CF$2)</f>
        <v>000000</v>
      </c>
      <c r="CG9" s="371" t="str">
        <f>LEFT(STRINGA!CF3,MAX(LEN(STRINGA!CF3)-CG$2,0))&amp;IF(CG$2&lt;&gt;0,",","")&amp;RIGHT(STRINGA!CF3,CG$2)</f>
        <v>000000</v>
      </c>
      <c r="CH9" s="371" t="str">
        <f>LEFT(STRINGA!CG3,MAX(LEN(STRINGA!CG3)-CH$2,0))&amp;IF(CH$2&lt;&gt;0,",","")&amp;RIGHT(STRINGA!CG3,CH$2)</f>
        <v>000000</v>
      </c>
      <c r="CI9" s="371" t="str">
        <f>LEFT(STRINGA!CH3,MAX(LEN(STRINGA!CH3)-CI$2,0))&amp;IF(CI$2&lt;&gt;0,",","")&amp;RIGHT(STRINGA!CH3,CI$2)</f>
        <v>00,0</v>
      </c>
      <c r="CJ9" s="371" t="str">
        <f>LEFT(STRINGA!CI3,MAX(LEN(STRINGA!CI3)-CJ$2,0))&amp;IF(CJ$2&lt;&gt;0,",","")&amp;RIGHT(STRINGA!CI3,CJ$2)</f>
        <v>00,0</v>
      </c>
      <c r="CK9" s="371" t="str">
        <f>LEFT(STRINGA!CJ3,MAX(LEN(STRINGA!CJ3)-CK$2,0))&amp;IF(CK$2&lt;&gt;0,",","")&amp;RIGHT(STRINGA!CJ3,CK$2)</f>
        <v>000000</v>
      </c>
      <c r="CL9" s="371" t="str">
        <f>LEFT(STRINGA!CK3,MAX(LEN(STRINGA!CK3)-CL$2,0))&amp;IF(CL$2&lt;&gt;0,",","")&amp;RIGHT(STRINGA!CK3,CL$2)</f>
        <v>00,0</v>
      </c>
      <c r="CM9" s="371" t="str">
        <f>LEFT(STRINGA!CL3,MAX(LEN(STRINGA!CL3)-CM$2,0))&amp;IF(CM$2&lt;&gt;0,",","")&amp;RIGHT(STRINGA!CL3,CM$2)</f>
        <v>00</v>
      </c>
      <c r="CN9" s="371" t="str">
        <f>LEFT(STRINGA!CM3,MAX(LEN(STRINGA!CM3)-CN$2,0))&amp;IF(CN$2&lt;&gt;0,",","")&amp;RIGHT(STRINGA!CM3,CN$2)</f>
        <v>00,0</v>
      </c>
      <c r="CO9" s="375" t="str">
        <f>LEFT(STRINGA!CN3,MAX(LEN(STRINGA!CN3)-CO$2,0))&amp;IF(CO$2&lt;&gt;0,",","")&amp;RIGHT(STRINGA!CN3,CO$2)</f>
        <v>00</v>
      </c>
      <c r="CP9" s="452" t="str">
        <f>descrittive_A!AN42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CQ9" s="453" t="str">
        <f>descrittive_B!AN38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CR9" s="301"/>
    </row>
    <row r="10" spans="1:100" s="76" customFormat="1" ht="110.25" customHeight="1" x14ac:dyDescent="0.25">
      <c r="A10" s="550"/>
      <c r="B10" s="537" t="s">
        <v>106</v>
      </c>
      <c r="C10" s="162"/>
      <c r="D10" s="163"/>
      <c r="E10" s="163"/>
      <c r="F10" s="163"/>
      <c r="G10" s="163"/>
      <c r="H10" s="163"/>
      <c r="I10" s="163"/>
      <c r="J10" s="330"/>
      <c r="K10" s="330"/>
      <c r="L10" s="330"/>
      <c r="M10" s="330"/>
      <c r="N10" s="330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509"/>
      <c r="AP10" s="509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329"/>
      <c r="BP10" s="30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329"/>
      <c r="CP10" s="458"/>
      <c r="CQ10" s="458"/>
      <c r="CR10" s="83"/>
      <c r="CV10" s="77"/>
    </row>
    <row r="11" spans="1:100" s="154" customFormat="1" ht="22.5" customHeight="1" x14ac:dyDescent="0.25">
      <c r="A11" s="550"/>
      <c r="B11" s="538"/>
      <c r="C11" s="376" t="s">
        <v>7</v>
      </c>
      <c r="D11" s="376" t="s">
        <v>7</v>
      </c>
      <c r="E11" s="376" t="s">
        <v>7</v>
      </c>
      <c r="F11" s="376" t="s">
        <v>7</v>
      </c>
      <c r="G11" s="376" t="s">
        <v>7</v>
      </c>
      <c r="H11" s="376" t="s">
        <v>7</v>
      </c>
      <c r="I11" s="376" t="s">
        <v>7</v>
      </c>
      <c r="J11" s="376" t="s">
        <v>7</v>
      </c>
      <c r="K11" s="376" t="s">
        <v>7</v>
      </c>
      <c r="L11" s="376" t="s">
        <v>7</v>
      </c>
      <c r="M11" s="376" t="s">
        <v>7</v>
      </c>
      <c r="N11" s="376" t="s">
        <v>7</v>
      </c>
      <c r="O11" s="376" t="s">
        <v>7</v>
      </c>
      <c r="P11" s="376" t="s">
        <v>7</v>
      </c>
      <c r="Q11" s="376" t="s">
        <v>7</v>
      </c>
      <c r="R11" s="376" t="s">
        <v>7</v>
      </c>
      <c r="S11" s="376" t="s">
        <v>7</v>
      </c>
      <c r="T11" s="376" t="s">
        <v>7</v>
      </c>
      <c r="U11" s="376" t="s">
        <v>7</v>
      </c>
      <c r="V11" s="376" t="s">
        <v>7</v>
      </c>
      <c r="W11" s="376" t="s">
        <v>7</v>
      </c>
      <c r="X11" s="376" t="s">
        <v>7</v>
      </c>
      <c r="Y11" s="376" t="s">
        <v>7</v>
      </c>
      <c r="Z11" s="376" t="str">
        <f>IF(AND($Z10&lt;&gt;"",$AB10&lt;&gt;"",$AC10&lt;&gt;"",$AF10&lt;&gt;"",$Z10+0&lt;&gt;$AB10+$AC10+$AF10+$AG10+$AH10+0),"RICONTROLLARE","ANTEPRIMA")</f>
        <v>ANTEPRIMA</v>
      </c>
      <c r="AA11" s="376" t="s">
        <v>7</v>
      </c>
      <c r="AB11" s="376" t="str">
        <f>IF(AND($Z10&lt;&gt;"",$AB10&lt;&gt;"",$AC10&lt;&gt;"",$AF10&lt;&gt;"",$Z10+0&lt;&gt;$AB10+$AC10+$AF10+$AG10+$AH10+0),"RICONTROLLARE","ANTEPRIMA")</f>
        <v>ANTEPRIMA</v>
      </c>
      <c r="AC11" s="376" t="str">
        <f>IF(AND($Z10&lt;&gt;"",$AB10&lt;&gt;"",$AC10&lt;&gt;"",$AF10&lt;&gt;"",$Z10+0&lt;&gt;$AB10+$AC10+$AF10+$AG10+$AH10+0),"RICONTROLLARE","ANTEPRIMA")</f>
        <v>ANTEPRIMA</v>
      </c>
      <c r="AD11" s="376" t="s">
        <v>7</v>
      </c>
      <c r="AE11" s="376" t="s">
        <v>7</v>
      </c>
      <c r="AF11" s="376" t="str">
        <f>IF(AND($Z10&lt;&gt;"",$AB10&lt;&gt;"",$AC10&lt;&gt;"",$AF10&lt;&gt;"",$Z10+0&lt;&gt;$AB10+$AC10+$AF10+$AG10+$AH10+0),"RICONTROLLARE","ANTEPRIMA")</f>
        <v>ANTEPRIMA</v>
      </c>
      <c r="AG11" s="376" t="str">
        <f>IF(AND($Z10&lt;&gt;"",$AB10&lt;&gt;"",$AC10&lt;&gt;"",$AF10&lt;&gt;"",$Z10+0&lt;&gt;$AB10+$AC10+$AF10+$AG10+$AH10+0),"RICONTROLLARE","ANTEPRIMA")</f>
        <v>ANTEPRIMA</v>
      </c>
      <c r="AH11" s="376" t="str">
        <f>IF(AND($Z10&lt;&gt;"",$AB10&lt;&gt;"",$AC10&lt;&gt;"",$AF10&lt;&gt;"",$Z10+0&lt;&gt;$AB10+$AC10+$AF10+$AG10+$AH10+0),"RICONTROLLARE","ANTEPRIMA")</f>
        <v>ANTEPRIMA</v>
      </c>
      <c r="AI11" s="459" t="str">
        <f>IF(OR(AI10="",4-COUNTBLANK($AF10:$AH10)=VALUE($AI10)),"ANTEPRIMA","RICONTROLLARE")</f>
        <v>ANTEPRIMA</v>
      </c>
      <c r="AJ11" s="376" t="s">
        <v>7</v>
      </c>
      <c r="AK11" s="376" t="s">
        <v>7</v>
      </c>
      <c r="AL11" s="376" t="s">
        <v>7</v>
      </c>
      <c r="AM11" s="376" t="s">
        <v>7</v>
      </c>
      <c r="AN11" s="376" t="s">
        <v>7</v>
      </c>
      <c r="AO11" s="514" t="s">
        <v>7</v>
      </c>
      <c r="AP11" s="514" t="s">
        <v>7</v>
      </c>
      <c r="AQ11" s="376" t="s">
        <v>7</v>
      </c>
      <c r="AR11" s="376" t="s">
        <v>7</v>
      </c>
      <c r="AS11" s="376" t="s">
        <v>7</v>
      </c>
      <c r="AT11" s="376" t="s">
        <v>7</v>
      </c>
      <c r="AU11" s="376" t="s">
        <v>7</v>
      </c>
      <c r="AV11" s="376" t="s">
        <v>7</v>
      </c>
      <c r="AW11" s="376" t="s">
        <v>7</v>
      </c>
      <c r="AX11" s="376" t="s">
        <v>7</v>
      </c>
      <c r="AY11" s="376" t="s">
        <v>7</v>
      </c>
      <c r="AZ11" s="376" t="s">
        <v>7</v>
      </c>
      <c r="BA11" s="376" t="s">
        <v>7</v>
      </c>
      <c r="BB11" s="376" t="s">
        <v>7</v>
      </c>
      <c r="BC11" s="376" t="s">
        <v>7</v>
      </c>
      <c r="BD11" s="376" t="s">
        <v>7</v>
      </c>
      <c r="BE11" s="376" t="s">
        <v>7</v>
      </c>
      <c r="BF11" s="376" t="s">
        <v>7</v>
      </c>
      <c r="BG11" s="376" t="s">
        <v>7</v>
      </c>
      <c r="BH11" s="376" t="s">
        <v>7</v>
      </c>
      <c r="BI11" s="376" t="s">
        <v>7</v>
      </c>
      <c r="BJ11" s="376" t="s">
        <v>7</v>
      </c>
      <c r="BK11" s="376" t="s">
        <v>7</v>
      </c>
      <c r="BL11" s="376" t="s">
        <v>7</v>
      </c>
      <c r="BM11" s="376" t="s">
        <v>7</v>
      </c>
      <c r="BN11" s="376" t="s">
        <v>7</v>
      </c>
      <c r="BO11" s="377" t="s">
        <v>7</v>
      </c>
      <c r="BP11" s="376" t="s">
        <v>7</v>
      </c>
      <c r="BQ11" s="376" t="s">
        <v>7</v>
      </c>
      <c r="BR11" s="376" t="s">
        <v>7</v>
      </c>
      <c r="BS11" s="376" t="s">
        <v>7</v>
      </c>
      <c r="BT11" s="376" t="s">
        <v>7</v>
      </c>
      <c r="BU11" s="376" t="s">
        <v>7</v>
      </c>
      <c r="BV11" s="376" t="s">
        <v>7</v>
      </c>
      <c r="BW11" s="376" t="s">
        <v>7</v>
      </c>
      <c r="BX11" s="376" t="s">
        <v>7</v>
      </c>
      <c r="BY11" s="376" t="s">
        <v>7</v>
      </c>
      <c r="BZ11" s="376" t="s">
        <v>7</v>
      </c>
      <c r="CA11" s="376" t="s">
        <v>7</v>
      </c>
      <c r="CB11" s="376" t="s">
        <v>7</v>
      </c>
      <c r="CC11" s="376" t="s">
        <v>7</v>
      </c>
      <c r="CD11" s="376" t="s">
        <v>7</v>
      </c>
      <c r="CE11" s="376" t="s">
        <v>7</v>
      </c>
      <c r="CF11" s="376" t="s">
        <v>7</v>
      </c>
      <c r="CG11" s="376" t="s">
        <v>7</v>
      </c>
      <c r="CH11" s="376" t="s">
        <v>7</v>
      </c>
      <c r="CI11" s="376" t="s">
        <v>7</v>
      </c>
      <c r="CJ11" s="376" t="s">
        <v>7</v>
      </c>
      <c r="CK11" s="376" t="s">
        <v>7</v>
      </c>
      <c r="CL11" s="376" t="s">
        <v>7</v>
      </c>
      <c r="CM11" s="376" t="s">
        <v>7</v>
      </c>
      <c r="CN11" s="376" t="s">
        <v>7</v>
      </c>
      <c r="CO11" s="378" t="s">
        <v>7</v>
      </c>
      <c r="CP11" s="379" t="str">
        <f>"ANTEPRIMA"&amp;descrittive_A!AG66&amp;"                                                       CARATTERI RIMANENTI: "&amp;descrittive_A!$J$54</f>
        <v>ANTEPRIMA                                                                                           CARATTERI RIMANENTI: 424</v>
      </c>
      <c r="CQ11" s="380" t="str">
        <f>"ANTEPRIMA"&amp;descrittive_B!AG58&amp;"                                                       CARATTERI RIMANENTI: "&amp;descrittive_B!$J$46</f>
        <v>ANTEPRIMA                                                                                           CARATTERI RIMANENTI: 424</v>
      </c>
      <c r="CR11" s="153"/>
    </row>
    <row r="12" spans="1:100" s="302" customFormat="1" ht="105" customHeight="1" thickBot="1" x14ac:dyDescent="0.3">
      <c r="A12" s="550"/>
      <c r="B12" s="539"/>
      <c r="C12" s="381" t="str">
        <f>LEFT(STRINGA!B4,MAX(LEN(STRINGA!B4)-C$2,0))&amp;IF(C$2&lt;&gt;0,",","")&amp;RIGHT(STRINGA!B4,C$2)</f>
        <v xml:space="preserve">  </v>
      </c>
      <c r="D12" s="381" t="str">
        <f>LEFT(D10,7)&amp;"/"&amp;MID(D10,8,2)&amp;"/"&amp;MID(D10,10,100)</f>
        <v>//</v>
      </c>
      <c r="E12" s="381" t="str">
        <f>MID(M_ZERI &amp; E10,LEN(M_ZERI &amp; E10)-5,2)&amp;"/"&amp;RIGHT(E10,4)</f>
        <v>00/</v>
      </c>
      <c r="F12" s="381" t="str">
        <f>LEFT(STRINGA!E4,MAX(LEN(STRINGA!E4)-F$2,0))&amp;IF(F$2&lt;&gt;0,",","")&amp;RIGHT(STRINGA!E4,F$2)</f>
        <v xml:space="preserve">                                   </v>
      </c>
      <c r="G12" s="381" t="str">
        <f>MID(M_ZERI &amp; G10,LEN(M_ZERI &amp; G10)-7,2)&amp;"/"&amp;MID(M_ZERI &amp; G10,LEN(M_ZERI &amp; G10)-5,2)&amp;"/"&amp;RIGHT(G10,4)</f>
        <v>00/00/</v>
      </c>
      <c r="H12" s="381" t="str">
        <f>MID(M_ZERI &amp; H10,LEN(M_ZERI &amp; H10)-5,2)&amp;"/"&amp;RIGHT(H10,4)</f>
        <v>00/</v>
      </c>
      <c r="I12" s="381" t="str">
        <f>LEFT(STRINGA!H4,MAX(LEN(STRINGA!H4)-I$2,0))&amp;IF(I$2&lt;&gt;0,",","")&amp;RIGHT(STRINGA!H4,I$2)</f>
        <v xml:space="preserve">  </v>
      </c>
      <c r="J12" s="381" t="str">
        <f>LEFT(STRINGA!I4,MAX(LEN(STRINGA!I4)-J$2,0))&amp;IF(J$2&lt;&gt;0,",","")&amp;RIGHT(STRINGA!I4,J$2)</f>
        <v xml:space="preserve"> </v>
      </c>
      <c r="K12" s="381" t="str">
        <f>LEFT(STRINGA!J4,MAX(LEN(STRINGA!J4)-K$2,0))&amp;IF(K$2&lt;&gt;0,",","")&amp;RIGHT(STRINGA!J4,K$2)</f>
        <v xml:space="preserve"> </v>
      </c>
      <c r="L12" s="381" t="str">
        <f>LEFT(STRINGA!K4,MAX(LEN(STRINGA!K4)-L$2,0))&amp;IF(L$2&lt;&gt;0,",","")&amp;RIGHT(STRINGA!K4,L$2)</f>
        <v xml:space="preserve"> </v>
      </c>
      <c r="M12" s="381" t="str">
        <f>LEFT(STRINGA!L4,MAX(LEN(STRINGA!L4)-M$2,0))&amp;IF(M$2&lt;&gt;0,",","")&amp;RIGHT(STRINGA!L4,M$2)</f>
        <v xml:space="preserve"> </v>
      </c>
      <c r="N12" s="381" t="str">
        <f>LEFT(STRINGA!M4,MAX(LEN(STRINGA!M4)-N$2,0))&amp;IF(N$2&lt;&gt;0,",","")&amp;RIGHT(STRINGA!M4,N$2)</f>
        <v xml:space="preserve"> </v>
      </c>
      <c r="O12" s="381" t="str">
        <f>LEFT(STRINGA!N4,MAX(LEN(STRINGA!N4)-O$2,0))&amp;IF(O$2&lt;&gt;0,",","")&amp;RIGHT(STRINGA!N4,O$2)</f>
        <v xml:space="preserve">                                        </v>
      </c>
      <c r="P12" s="381" t="str">
        <f>LEFT(STRINGA!O4,MAX(LEN(STRINGA!O4)-P$2,0))&amp;IF(P$2&lt;&gt;0,",","")&amp;RIGHT(STRINGA!O4,P$2)</f>
        <v xml:space="preserve"> </v>
      </c>
      <c r="Q12" s="381" t="str">
        <f>LEFT(STRINGA!P4,MAX(LEN(STRINGA!P4)-Q$2,0))&amp;IF(Q$2&lt;&gt;0,",","")&amp;RIGHT(STRINGA!P4,Q$2)</f>
        <v xml:space="preserve">                                   </v>
      </c>
      <c r="R12" s="381" t="str">
        <f>LEFT(STRINGA!Q4,MAX(LEN(STRINGA!Q4)-R$2,0))&amp;IF(R$2&lt;&gt;0,",","")&amp;RIGHT(STRINGA!Q4,R$2)</f>
        <v xml:space="preserve">   </v>
      </c>
      <c r="S12" s="381" t="str">
        <f>LEFT(STRINGA!R4,MAX(LEN(STRINGA!R4)-S$2,0))&amp;IF(S$2&lt;&gt;0,",","")&amp;RIGHT(STRINGA!R4,S$2)</f>
        <v xml:space="preserve"> </v>
      </c>
      <c r="T12" s="381" t="str">
        <f>LEFT(STRINGA!S4,MAX(LEN(STRINGA!S4)-T$2,0))&amp;IF(T$2&lt;&gt;0,",","")&amp;RIGHT(STRINGA!S4,T$2)</f>
        <v>00</v>
      </c>
      <c r="U12" s="381" t="str">
        <f>LEFT(STRINGA!T4,MAX(LEN(STRINGA!T4)-U$2,0))&amp;IF(U$2&lt;&gt;0,",","")&amp;RIGHT(STRINGA!T4,U$2)</f>
        <v>00000</v>
      </c>
      <c r="V12" s="381" t="str">
        <f>LEFT(STRINGA!U4,MAX(LEN(STRINGA!U4)-V$2,0))&amp;IF(V$2&lt;&gt;0,",","")&amp;RIGHT(STRINGA!U4,V$2)</f>
        <v>000,0</v>
      </c>
      <c r="W12" s="381" t="str">
        <f>LEFT(STRINGA!V4,MAX(LEN(STRINGA!V4)-W$2,0))&amp;IF(W$2&lt;&gt;0,",","")&amp;RIGHT(STRINGA!V4,W$2)</f>
        <v xml:space="preserve">                    </v>
      </c>
      <c r="X12" s="381" t="str">
        <f>LEFT(STRINGA!W4,MAX(LEN(STRINGA!W4)-X$2,0))&amp;IF(X$2&lt;&gt;0,",","")&amp;RIGHT(STRINGA!W4,X$2)</f>
        <v>000</v>
      </c>
      <c r="Y12" s="381" t="str">
        <f>LEFT(STRINGA!X4,MAX(LEN(STRINGA!X4)-Y$2,0))&amp;IF(Y$2&lt;&gt;0,",","")&amp;RIGHT(STRINGA!X4,Y$2)</f>
        <v>0000</v>
      </c>
      <c r="Z12" s="381" t="str">
        <f>LEFT(STRINGA!Y4,MAX(LEN(STRINGA!Y4)-Z$2,0))&amp;IF(Z$2&lt;&gt;0,",","")&amp;RIGHT(STRINGA!Y4,Z$2)</f>
        <v>00000</v>
      </c>
      <c r="AA12" s="381" t="str">
        <f>LEFT(STRINGA!Z4,MAX(LEN(STRINGA!Z4)-AA$2,0))&amp;IF(AA$2&lt;&gt;0,",","")&amp;RIGHT(STRINGA!Z4,AA$2)</f>
        <v>0000</v>
      </c>
      <c r="AB12" s="381" t="str">
        <f>LEFT(STRINGA!AA4,MAX(LEN(STRINGA!AA4)-AB$2,0))&amp;IF(AB$2&lt;&gt;0,",","")&amp;RIGHT(STRINGA!AA4,AB$2)</f>
        <v>0000</v>
      </c>
      <c r="AC12" s="381" t="str">
        <f>LEFT(STRINGA!AB4,MAX(LEN(STRINGA!AB4)-AC$2,0))&amp;IF(AC$2&lt;&gt;0,",","")&amp;RIGHT(STRINGA!AB4,AC$2)</f>
        <v>0000</v>
      </c>
      <c r="AD12" s="381" t="str">
        <f>LEFT(STRINGA!AC4,MAX(LEN(STRINGA!AC4)-AD$2,0))&amp;IF(AD$2&lt;&gt;0,",","")&amp;RIGHT(STRINGA!AC4,AD$2)</f>
        <v>0,00</v>
      </c>
      <c r="AE12" s="381" t="str">
        <f>LEFT(STRINGA!AD4,MAX(LEN(STRINGA!AD4)-AE$2,0))&amp;IF(AE$2&lt;&gt;0,",","")&amp;RIGHT(STRINGA!AD4,AE$2)</f>
        <v xml:space="preserve"> </v>
      </c>
      <c r="AF12" s="381" t="str">
        <f>LEFT(STRINGA!AE4,MAX(LEN(STRINGA!AE4)-AF$2,0))&amp;IF(AF$2&lt;&gt;0,",","")&amp;RIGHT(STRINGA!AE4,AF$2)</f>
        <v>0000</v>
      </c>
      <c r="AG12" s="381" t="str">
        <f>LEFT(STRINGA!AF4,MAX(LEN(STRINGA!AF4)-AG$2,0))&amp;IF(AG$2&lt;&gt;0,",","")&amp;RIGHT(STRINGA!AF4,AG$2)</f>
        <v>0000</v>
      </c>
      <c r="AH12" s="381" t="str">
        <f>LEFT(STRINGA!AG4,MAX(LEN(STRINGA!AG4)-AH$2,0))&amp;IF(AH$2&lt;&gt;0,",","")&amp;RIGHT(STRINGA!AG4,AH$2)</f>
        <v>0000</v>
      </c>
      <c r="AI12" s="381" t="str">
        <f>LEFT(STRINGA!AH4,MAX(LEN(STRINGA!AH4)-AI$2,0))&amp;IF(AI$2&lt;&gt;0,",","")&amp;RIGHT(STRINGA!AH4,AI$2)</f>
        <v>00</v>
      </c>
      <c r="AJ12" s="381" t="str">
        <f>LEFT(STRINGA!AI4,MAX(LEN(STRINGA!AI4)-AJ$2,0))&amp;IF(AJ$2&lt;&gt;0,",","")&amp;RIGHT(STRINGA!AI4,AJ$2)</f>
        <v>00000</v>
      </c>
      <c r="AK12" s="381" t="str">
        <f>LEFT(STRINGA!AJ4,MAX(LEN(STRINGA!AJ4)-AK$2,0))&amp;IF(AK$2&lt;&gt;0,",","")&amp;RIGHT(STRINGA!AJ4,AK$2)</f>
        <v>000000</v>
      </c>
      <c r="AL12" s="381" t="str">
        <f>LEFT(STRINGA!AK4,MAX(LEN(STRINGA!AK4)-AL$2,0))&amp;IF(AL$2&lt;&gt;0,",","")&amp;RIGHT(STRINGA!AK4,AL$2)</f>
        <v>000000</v>
      </c>
      <c r="AM12" s="381" t="str">
        <f>LEFT(STRINGA!AL4,MAX(LEN(STRINGA!AL4)-AM$2,0))&amp;IF(AM$2&lt;&gt;0,",","")&amp;RIGHT(STRINGA!AL4,AM$2)</f>
        <v>00000</v>
      </c>
      <c r="AN12" s="381" t="str">
        <f>LEFT(STRINGA!AM4,MAX(LEN(STRINGA!AM4)-AN$2,0))&amp;IF(AN$2&lt;&gt;0,",","")&amp;RIGHT(STRINGA!AM4,AN$2)</f>
        <v>0</v>
      </c>
      <c r="AO12" s="515" t="str">
        <f>LEFT(STRINGA!AN4,MAX(LEN(STRINGA!AN4)-AO$2,0))&amp;IF(AO$2&lt;&gt;0,",","")&amp;RIGHT(STRINGA!AN4,AO$2)</f>
        <v>00000</v>
      </c>
      <c r="AP12" s="515" t="str">
        <f>LEFT(STRINGA!AO4,MAX(LEN(STRINGA!AO4)-AP$2,0))&amp;IF(AP$2&lt;&gt;0,",","")&amp;RIGHT(STRINGA!AO4,AP$2)</f>
        <v>0</v>
      </c>
      <c r="AQ12" s="381" t="str">
        <f>LEFT(STRINGA!AP4,MAX(LEN(STRINGA!AP4)-AQ$2,0))&amp;IF(AQ$2&lt;&gt;0,",","")&amp;RIGHT(STRINGA!AP4,AQ$2)</f>
        <v xml:space="preserve"> </v>
      </c>
      <c r="AR12" s="381" t="str">
        <f>LEFT(STRINGA!AQ4,MAX(LEN(STRINGA!AQ4)-AR$2,0))&amp;IF(AR$2&lt;&gt;0,",","")&amp;RIGHT(STRINGA!AQ4,AR$2)</f>
        <v xml:space="preserve">                                                                 </v>
      </c>
      <c r="AS12" s="381" t="str">
        <f>LEFT(STRINGA!AR4,MAX(LEN(STRINGA!AR4)-AS$2,0))&amp;IF(AS$2&lt;&gt;0,",","")&amp;RIGHT(STRINGA!AR4,AS$2)</f>
        <v xml:space="preserve"> </v>
      </c>
      <c r="AT12" s="381" t="str">
        <f>LEFT(STRINGA!AS4,MAX(LEN(STRINGA!AS4)-AT$2,0))&amp;IF(AT$2&lt;&gt;0,",","")&amp;RIGHT(STRINGA!AS4,AT$2)</f>
        <v xml:space="preserve"> </v>
      </c>
      <c r="AU12" s="381" t="str">
        <f>LEFT(STRINGA!AT4,MAX(LEN(STRINGA!AT4)-AU$2,0))&amp;IF(AU$2&lt;&gt;0,",","")&amp;RIGHT(STRINGA!AT4,AU$2)</f>
        <v>000</v>
      </c>
      <c r="AV12" s="381" t="str">
        <f>LEFT(STRINGA!AU4,MAX(LEN(STRINGA!AU4)-AV$2,0))&amp;IF(AV$2&lt;&gt;0,",","")&amp;RIGHT(STRINGA!AU4,AV$2)</f>
        <v>00,0</v>
      </c>
      <c r="AW12" s="381" t="str">
        <f>LEFT(STRINGA!AV4,MAX(LEN(STRINGA!AV4)-AW$2,0))&amp;IF(AW$2&lt;&gt;0,",","")&amp;RIGHT(STRINGA!AV4,AW$2)</f>
        <v>00,0</v>
      </c>
      <c r="AX12" s="381" t="str">
        <f>LEFT(STRINGA!AW4,MAX(LEN(STRINGA!AW4)-AX$2,0))&amp;IF(AX$2&lt;&gt;0,",","")&amp;RIGHT(STRINGA!AW4,AX$2)</f>
        <v xml:space="preserve">  </v>
      </c>
      <c r="AY12" s="381" t="str">
        <f>LEFT(STRINGA!AX4,MAX(LEN(STRINGA!AX4)-AY$2,0))&amp;IF(AY$2&lt;&gt;0,",","")&amp;RIGHT(STRINGA!AX4,AY$2)</f>
        <v xml:space="preserve">                                                     </v>
      </c>
      <c r="AZ12" s="381" t="str">
        <f>LEFT(STRINGA!AY4,MAX(LEN(STRINGA!AY4)-AZ$2,0))&amp;IF(AZ$2&lt;&gt;0,",","")&amp;RIGHT(STRINGA!AY4,AZ$2)</f>
        <v xml:space="preserve"> </v>
      </c>
      <c r="BA12" s="381" t="str">
        <f>LEFT(STRINGA!AZ4,MAX(LEN(STRINGA!AZ4)-BA$2,0))&amp;IF(BA$2&lt;&gt;0,",","")&amp;RIGHT(STRINGA!AZ4,BA$2)</f>
        <v xml:space="preserve"> </v>
      </c>
      <c r="BB12" s="381" t="str">
        <f>LEFT(STRINGA!BA4,MAX(LEN(STRINGA!BA4)-BB$2,0))&amp;IF(BB$2&lt;&gt;0,",","")&amp;RIGHT(STRINGA!BA4,BB$2)</f>
        <v xml:space="preserve"> </v>
      </c>
      <c r="BC12" s="381" t="str">
        <f>LEFT(STRINGA!BB4,MAX(LEN(STRINGA!BB4)-BC$2,0))&amp;IF(BC$2&lt;&gt;0,",","")&amp;RIGHT(STRINGA!BB4,BC$2)</f>
        <v xml:space="preserve"> </v>
      </c>
      <c r="BD12" s="381" t="str">
        <f>LEFT(STRINGA!BC4,MAX(LEN(STRINGA!BC4)-BD$2,0))&amp;IF(BD$2&lt;&gt;0,",","")&amp;RIGHT(STRINGA!BC4,BD$2)</f>
        <v xml:space="preserve"> </v>
      </c>
      <c r="BE12" s="381" t="str">
        <f>LEFT(STRINGA!BD4,MAX(LEN(STRINGA!BD4)-BE$2,0))&amp;IF(BE$2&lt;&gt;0,",","")&amp;RIGHT(STRINGA!BD4,BE$2)</f>
        <v xml:space="preserve">  </v>
      </c>
      <c r="BF12" s="381" t="str">
        <f>LEFT(STRINGA!BE4,MAX(LEN(STRINGA!BE4)-BF$2,0))&amp;IF(BF$2&lt;&gt;0,",","")&amp;RIGHT(STRINGA!BE4,BF$2)</f>
        <v xml:space="preserve">  </v>
      </c>
      <c r="BG12" s="381" t="str">
        <f>LEFT(STRINGA!BF4,MAX(LEN(STRINGA!BF4)-BG$2,0))&amp;IF(BG$2&lt;&gt;0,",","")&amp;RIGHT(STRINGA!BF4,BG$2)</f>
        <v xml:space="preserve">  </v>
      </c>
      <c r="BH12" s="381" t="str">
        <f>LEFT(STRINGA!BG4,MAX(LEN(STRINGA!BG4)-BH$2,0))&amp;IF(BH$2&lt;&gt;0,",","")&amp;RIGHT(STRINGA!BG4,BH$2)</f>
        <v xml:space="preserve">  </v>
      </c>
      <c r="BI12" s="381" t="str">
        <f>LEFT(STRINGA!BH4,MAX(LEN(STRINGA!BH4)-BI$2,0))&amp;IF(BI$2&lt;&gt;0,",","")&amp;RIGHT(STRINGA!BH4,BI$2)</f>
        <v xml:space="preserve">  </v>
      </c>
      <c r="BJ12" s="381" t="str">
        <f>LEFT(STRINGA!BI4,MAX(LEN(STRINGA!BI4)-BJ$2,0))&amp;IF(BJ$2&lt;&gt;0,",","")&amp;RIGHT(STRINGA!BI4,BJ$2)</f>
        <v>00000</v>
      </c>
      <c r="BK12" s="381" t="str">
        <f>LEFT(STRINGA!BJ4,MAX(LEN(STRINGA!BJ4)-BK$2,0))&amp;IF(BK$2&lt;&gt;0,",","")&amp;RIGHT(STRINGA!BJ4,BK$2)</f>
        <v>0000</v>
      </c>
      <c r="BL12" s="381" t="str">
        <f>LEFT(STRINGA!BK4,MAX(LEN(STRINGA!BK4)-BL$2,0))&amp;IF(BL$2&lt;&gt;0,",","")&amp;RIGHT(STRINGA!BK4,BL$2)</f>
        <v>0000</v>
      </c>
      <c r="BM12" s="381" t="str">
        <f>LEFT(STRINGA!BL4,MAX(LEN(STRINGA!BL4)-BM$2,0))&amp;IF(BM$2&lt;&gt;0,",","")&amp;RIGHT(STRINGA!BL4,BM$2)</f>
        <v>0000</v>
      </c>
      <c r="BN12" s="381" t="str">
        <f>LEFT(STRINGA!BM4,MAX(LEN(STRINGA!BM4)-BN$2,0))&amp;IF(BN$2&lt;&gt;0,",","")&amp;RIGHT(STRINGA!BM4,BN$2)</f>
        <v>0,00</v>
      </c>
      <c r="BO12" s="382" t="str">
        <f>LEFT(STRINGA!BN4,MAX(LEN(STRINGA!BN4)-BO$2,0))&amp;IF(BO$2&lt;&gt;0,",","")&amp;RIGHT(STRINGA!BN4,BO$2)</f>
        <v xml:space="preserve">   </v>
      </c>
      <c r="BP12" s="383" t="str">
        <f>LEFT(STRINGA!BO4,MAX(LEN(STRINGA!BO4)-BP$2,0))&amp;IF(BP$2&lt;&gt;0,",","")&amp;RIGHT(STRINGA!BO4,BP$2)</f>
        <v>00,0</v>
      </c>
      <c r="BQ12" s="381" t="str">
        <f>LEFT(STRINGA!BP4,MAX(LEN(STRINGA!BP4)-BQ$2,0))&amp;IF(BQ$2&lt;&gt;0,",","")&amp;RIGHT(STRINGA!BP4,BQ$2)</f>
        <v>00,0</v>
      </c>
      <c r="BR12" s="381" t="str">
        <f>LEFT(STRINGA!BQ4,MAX(LEN(STRINGA!BQ4)-BR$2,0))&amp;IF(BR$2&lt;&gt;0,",","")&amp;RIGHT(STRINGA!BQ4,BR$2)</f>
        <v>00,0</v>
      </c>
      <c r="BS12" s="381" t="str">
        <f>LEFT(STRINGA!BR4,MAX(LEN(STRINGA!BR4)-BS$2,0))&amp;IF(BS$2&lt;&gt;0,",","")&amp;RIGHT(STRINGA!BR4,BS$2)</f>
        <v>00,0</v>
      </c>
      <c r="BT12" s="381" t="str">
        <f>LEFT(STRINGA!BS4,MAX(LEN(STRINGA!BS4)-BT$2,0))&amp;IF(BT$2&lt;&gt;0,",","")&amp;RIGHT(STRINGA!BS4,BT$2)</f>
        <v>00,0</v>
      </c>
      <c r="BU12" s="381" t="str">
        <f>LEFT(STRINGA!BT4,MAX(LEN(STRINGA!BT4)-BU$2,0))&amp;IF(BU$2&lt;&gt;0,",","")&amp;RIGHT(STRINGA!BT4,BU$2)</f>
        <v>00,0</v>
      </c>
      <c r="BV12" s="381" t="str">
        <f>LEFT(STRINGA!BU4,MAX(LEN(STRINGA!BU4)-BV$2,0))&amp;IF(BV$2&lt;&gt;0,",","")&amp;RIGHT(STRINGA!BU4,BV$2)</f>
        <v>00,00</v>
      </c>
      <c r="BW12" s="381" t="str">
        <f>LEFT(STRINGA!BV4,MAX(LEN(STRINGA!BV4)-BW$2,0))&amp;IF(BW$2&lt;&gt;0,",","")&amp;RIGHT(STRINGA!BV4,BW$2)</f>
        <v>00,00</v>
      </c>
      <c r="BX12" s="381" t="str">
        <f>LEFT(STRINGA!BW4,MAX(LEN(STRINGA!BW4)-BX$2,0))&amp;IF(BX$2&lt;&gt;0,",","")&amp;RIGHT(STRINGA!BW4,BX$2)</f>
        <v>00,0</v>
      </c>
      <c r="BY12" s="381" t="str">
        <f>LEFT(STRINGA!BX4,MAX(LEN(STRINGA!BX4)-BY$2,0))&amp;IF(BY$2&lt;&gt;0,",","")&amp;RIGHT(STRINGA!BX4,BY$2)</f>
        <v>00,0</v>
      </c>
      <c r="BZ12" s="381" t="str">
        <f>LEFT(STRINGA!BY4,MAX(LEN(STRINGA!BY4)-BZ$2,0))&amp;IF(BZ$2&lt;&gt;0,",","")&amp;RIGHT(STRINGA!BY4,BZ$2)</f>
        <v>00,0</v>
      </c>
      <c r="CA12" s="381" t="str">
        <f>LEFT(STRINGA!BZ4,MAX(LEN(STRINGA!BZ4)-CA$2,0))&amp;IF(CA$2&lt;&gt;0,",","")&amp;RIGHT(STRINGA!BZ4,CA$2)</f>
        <v>00</v>
      </c>
      <c r="CB12" s="381" t="str">
        <f>LEFT(STRINGA!CA4,MAX(LEN(STRINGA!CA4)-CB$2,0))&amp;IF(CB$2&lt;&gt;0,",","")&amp;RIGHT(STRINGA!CA4,CB$2)</f>
        <v>00,0</v>
      </c>
      <c r="CC12" s="381" t="str">
        <f>LEFT(STRINGA!CB4,MAX(LEN(STRINGA!CB4)-CC$2,0))&amp;IF(CC$2&lt;&gt;0,",","")&amp;RIGHT(STRINGA!CB4,CC$2)</f>
        <v>00000</v>
      </c>
      <c r="CD12" s="381" t="str">
        <f>LEFT(STRINGA!CC4,MAX(LEN(STRINGA!CC4)-CD$2,0))&amp;IF(CD$2&lt;&gt;0,",","")&amp;RIGHT(STRINGA!CC4,CD$2)</f>
        <v>00,0</v>
      </c>
      <c r="CE12" s="381" t="str">
        <f>LEFT(STRINGA!CD4,MAX(LEN(STRINGA!CD4)-CE$2,0))&amp;IF(CE$2&lt;&gt;0,",","")&amp;RIGHT(STRINGA!CD4,CE$2)</f>
        <v>00</v>
      </c>
      <c r="CF12" s="381" t="str">
        <f>LEFT(STRINGA!CE4,MAX(LEN(STRINGA!CE4)-CF$2,0))&amp;IF(CF$2&lt;&gt;0,",","")&amp;RIGHT(STRINGA!CE4,CF$2)</f>
        <v>000000</v>
      </c>
      <c r="CG12" s="381" t="str">
        <f>LEFT(STRINGA!CF4,MAX(LEN(STRINGA!CF4)-CG$2,0))&amp;IF(CG$2&lt;&gt;0,",","")&amp;RIGHT(STRINGA!CF4,CG$2)</f>
        <v>000000</v>
      </c>
      <c r="CH12" s="381" t="str">
        <f>LEFT(STRINGA!CG4,MAX(LEN(STRINGA!CG4)-CH$2,0))&amp;IF(CH$2&lt;&gt;0,",","")&amp;RIGHT(STRINGA!CG4,CH$2)</f>
        <v>000000</v>
      </c>
      <c r="CI12" s="381" t="str">
        <f>LEFT(STRINGA!CH4,MAX(LEN(STRINGA!CH4)-CI$2,0))&amp;IF(CI$2&lt;&gt;0,",","")&amp;RIGHT(STRINGA!CH4,CI$2)</f>
        <v>00,0</v>
      </c>
      <c r="CJ12" s="381" t="str">
        <f>LEFT(STRINGA!CI4,MAX(LEN(STRINGA!CI4)-CJ$2,0))&amp;IF(CJ$2&lt;&gt;0,",","")&amp;RIGHT(STRINGA!CI4,CJ$2)</f>
        <v>00,0</v>
      </c>
      <c r="CK12" s="381" t="str">
        <f>LEFT(STRINGA!CJ4,MAX(LEN(STRINGA!CJ4)-CK$2,0))&amp;IF(CK$2&lt;&gt;0,",","")&amp;RIGHT(STRINGA!CJ4,CK$2)</f>
        <v>000000</v>
      </c>
      <c r="CL12" s="381" t="str">
        <f>LEFT(STRINGA!CK4,MAX(LEN(STRINGA!CK4)-CL$2,0))&amp;IF(CL$2&lt;&gt;0,",","")&amp;RIGHT(STRINGA!CK4,CL$2)</f>
        <v>00,0</v>
      </c>
      <c r="CM12" s="381" t="str">
        <f>LEFT(STRINGA!CL4,MAX(LEN(STRINGA!CL4)-CM$2,0))&amp;IF(CM$2&lt;&gt;0,",","")&amp;RIGHT(STRINGA!CL4,CM$2)</f>
        <v>00</v>
      </c>
      <c r="CN12" s="381" t="str">
        <f>LEFT(STRINGA!CM4,MAX(LEN(STRINGA!CM4)-CN$2,0))&amp;IF(CN$2&lt;&gt;0,",","")&amp;RIGHT(STRINGA!CM4,CN$2)</f>
        <v>00,0</v>
      </c>
      <c r="CO12" s="384" t="str">
        <f>LEFT(STRINGA!CN4,MAX(LEN(STRINGA!CN4)-CO$2,0))&amp;IF(CO$2&lt;&gt;0,",","")&amp;RIGHT(STRINGA!CN4,CO$2)</f>
        <v>00</v>
      </c>
      <c r="CP12" s="454" t="str">
        <f>descrittive_A!AN66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CQ12" s="455" t="str">
        <f>descrittive_B!AN58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CR12" s="301"/>
    </row>
    <row r="13" spans="1:100" s="76" customFormat="1" ht="118.5" customHeight="1" x14ac:dyDescent="0.25">
      <c r="A13" s="550"/>
      <c r="B13" s="540" t="s">
        <v>107</v>
      </c>
      <c r="C13" s="162"/>
      <c r="D13" s="163"/>
      <c r="E13" s="163"/>
      <c r="F13" s="163"/>
      <c r="G13" s="163"/>
      <c r="H13" s="163"/>
      <c r="I13" s="163"/>
      <c r="J13" s="330"/>
      <c r="K13" s="330"/>
      <c r="L13" s="330"/>
      <c r="M13" s="330"/>
      <c r="N13" s="330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509"/>
      <c r="AP13" s="509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329"/>
      <c r="BP13" s="30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329"/>
      <c r="CP13" s="458"/>
      <c r="CQ13" s="458"/>
      <c r="CR13" s="83"/>
      <c r="CV13" s="77"/>
    </row>
    <row r="14" spans="1:100" s="154" customFormat="1" ht="16.5" customHeight="1" x14ac:dyDescent="0.25">
      <c r="A14" s="550"/>
      <c r="B14" s="541"/>
      <c r="C14" s="385" t="s">
        <v>7</v>
      </c>
      <c r="D14" s="386" t="s">
        <v>7</v>
      </c>
      <c r="E14" s="386" t="s">
        <v>7</v>
      </c>
      <c r="F14" s="386" t="s">
        <v>7</v>
      </c>
      <c r="G14" s="386" t="s">
        <v>7</v>
      </c>
      <c r="H14" s="386" t="s">
        <v>7</v>
      </c>
      <c r="I14" s="386" t="s">
        <v>7</v>
      </c>
      <c r="J14" s="386" t="s">
        <v>7</v>
      </c>
      <c r="K14" s="386" t="s">
        <v>7</v>
      </c>
      <c r="L14" s="386" t="s">
        <v>7</v>
      </c>
      <c r="M14" s="386" t="s">
        <v>7</v>
      </c>
      <c r="N14" s="386" t="s">
        <v>7</v>
      </c>
      <c r="O14" s="386" t="s">
        <v>7</v>
      </c>
      <c r="P14" s="386" t="s">
        <v>7</v>
      </c>
      <c r="Q14" s="386" t="s">
        <v>7</v>
      </c>
      <c r="R14" s="386" t="s">
        <v>7</v>
      </c>
      <c r="S14" s="386" t="s">
        <v>7</v>
      </c>
      <c r="T14" s="386" t="s">
        <v>7</v>
      </c>
      <c r="U14" s="386" t="s">
        <v>7</v>
      </c>
      <c r="V14" s="386" t="s">
        <v>7</v>
      </c>
      <c r="W14" s="386" t="s">
        <v>7</v>
      </c>
      <c r="X14" s="386" t="s">
        <v>7</v>
      </c>
      <c r="Y14" s="386" t="s">
        <v>7</v>
      </c>
      <c r="Z14" s="386" t="str">
        <f>IF(AND($Z13&lt;&gt;"",$AB13&lt;&gt;"",$AC13&lt;&gt;"",$AF13&lt;&gt;"",$Z13+0&lt;&gt;$AB13+$AC13+$AF13+$AG13+$AH13+0),"RICONTROLLARE","ANTEPRIMA")</f>
        <v>ANTEPRIMA</v>
      </c>
      <c r="AA14" s="386" t="s">
        <v>7</v>
      </c>
      <c r="AB14" s="386" t="str">
        <f>IF(AND($Z13&lt;&gt;"",$AB13&lt;&gt;"",$AC13&lt;&gt;"",$AF13&lt;&gt;"",$Z13+0&lt;&gt;$AB13+$AC13+$AF13+$AG13+$AH13+0),"RICONTROLLARE","ANTEPRIMA")</f>
        <v>ANTEPRIMA</v>
      </c>
      <c r="AC14" s="386" t="str">
        <f>IF(AND($Z13&lt;&gt;"",$AB13&lt;&gt;"",$AC13&lt;&gt;"",$AF13&lt;&gt;"",$Z13+0&lt;&gt;$AB13+$AC13+$AF13+$AG13+$AH13+0),"RICONTROLLARE","ANTEPRIMA")</f>
        <v>ANTEPRIMA</v>
      </c>
      <c r="AD14" s="386" t="s">
        <v>7</v>
      </c>
      <c r="AE14" s="386" t="s">
        <v>7</v>
      </c>
      <c r="AF14" s="386" t="str">
        <f>IF(AND($Z13&lt;&gt;"",$AB13&lt;&gt;"",$AC13&lt;&gt;"",$AF13&lt;&gt;"",$Z13+0&lt;&gt;$AB13+$AC13+$AF13+$AG13+$AH13+0),"RICONTROLLARE","ANTEPRIMA")</f>
        <v>ANTEPRIMA</v>
      </c>
      <c r="AG14" s="386" t="str">
        <f>IF(AND($Z13&lt;&gt;"",$AB13&lt;&gt;"",$AC13&lt;&gt;"",$AF13&lt;&gt;"",$Z13+0&lt;&gt;$AB13+$AC13+$AF13+$AG13+$AH13+0),"RICONTROLLARE","ANTEPRIMA")</f>
        <v>ANTEPRIMA</v>
      </c>
      <c r="AH14" s="386" t="str">
        <f>IF(AND($Z13&lt;&gt;"",$AB13&lt;&gt;"",$AC13&lt;&gt;"",$AF13&lt;&gt;"",$Z13+0&lt;&gt;$AB13+$AC13+$AF13+$AG13+$AH13+0),"RICONTROLLARE","ANTEPRIMA")</f>
        <v>ANTEPRIMA</v>
      </c>
      <c r="AI14" s="532" t="str">
        <f>IF(OR(AI13="",4-COUNTBLANK($AF13:$AH13)=VALUE($AI13)),"ANTEPRIMA","RICONTROLLARE")</f>
        <v>ANTEPRIMA</v>
      </c>
      <c r="AJ14" s="386" t="s">
        <v>7</v>
      </c>
      <c r="AK14" s="386" t="s">
        <v>7</v>
      </c>
      <c r="AL14" s="386" t="s">
        <v>7</v>
      </c>
      <c r="AM14" s="386" t="s">
        <v>7</v>
      </c>
      <c r="AN14" s="386" t="s">
        <v>7</v>
      </c>
      <c r="AO14" s="516" t="s">
        <v>7</v>
      </c>
      <c r="AP14" s="516" t="s">
        <v>7</v>
      </c>
      <c r="AQ14" s="386" t="s">
        <v>7</v>
      </c>
      <c r="AR14" s="386" t="s">
        <v>7</v>
      </c>
      <c r="AS14" s="386" t="s">
        <v>7</v>
      </c>
      <c r="AT14" s="386" t="s">
        <v>7</v>
      </c>
      <c r="AU14" s="386" t="s">
        <v>7</v>
      </c>
      <c r="AV14" s="386" t="s">
        <v>7</v>
      </c>
      <c r="AW14" s="386" t="s">
        <v>7</v>
      </c>
      <c r="AX14" s="386" t="s">
        <v>7</v>
      </c>
      <c r="AY14" s="386" t="s">
        <v>7</v>
      </c>
      <c r="AZ14" s="386" t="s">
        <v>7</v>
      </c>
      <c r="BA14" s="386" t="s">
        <v>7</v>
      </c>
      <c r="BB14" s="386" t="s">
        <v>7</v>
      </c>
      <c r="BC14" s="386" t="s">
        <v>7</v>
      </c>
      <c r="BD14" s="386" t="s">
        <v>7</v>
      </c>
      <c r="BE14" s="386" t="s">
        <v>7</v>
      </c>
      <c r="BF14" s="386" t="s">
        <v>7</v>
      </c>
      <c r="BG14" s="386" t="s">
        <v>7</v>
      </c>
      <c r="BH14" s="386" t="s">
        <v>7</v>
      </c>
      <c r="BI14" s="386" t="s">
        <v>7</v>
      </c>
      <c r="BJ14" s="386" t="s">
        <v>7</v>
      </c>
      <c r="BK14" s="386" t="s">
        <v>7</v>
      </c>
      <c r="BL14" s="386" t="s">
        <v>7</v>
      </c>
      <c r="BM14" s="386" t="s">
        <v>7</v>
      </c>
      <c r="BN14" s="386" t="s">
        <v>7</v>
      </c>
      <c r="BO14" s="387" t="s">
        <v>7</v>
      </c>
      <c r="BP14" s="388" t="s">
        <v>7</v>
      </c>
      <c r="BQ14" s="386" t="s">
        <v>7</v>
      </c>
      <c r="BR14" s="386" t="s">
        <v>7</v>
      </c>
      <c r="BS14" s="386" t="s">
        <v>7</v>
      </c>
      <c r="BT14" s="386" t="s">
        <v>7</v>
      </c>
      <c r="BU14" s="386" t="s">
        <v>7</v>
      </c>
      <c r="BV14" s="386" t="s">
        <v>7</v>
      </c>
      <c r="BW14" s="386" t="s">
        <v>7</v>
      </c>
      <c r="BX14" s="386" t="s">
        <v>7</v>
      </c>
      <c r="BY14" s="386" t="s">
        <v>7</v>
      </c>
      <c r="BZ14" s="386" t="s">
        <v>7</v>
      </c>
      <c r="CA14" s="386" t="s">
        <v>7</v>
      </c>
      <c r="CB14" s="386" t="s">
        <v>7</v>
      </c>
      <c r="CC14" s="386" t="s">
        <v>7</v>
      </c>
      <c r="CD14" s="386" t="s">
        <v>7</v>
      </c>
      <c r="CE14" s="386" t="s">
        <v>7</v>
      </c>
      <c r="CF14" s="386" t="s">
        <v>7</v>
      </c>
      <c r="CG14" s="386" t="s">
        <v>7</v>
      </c>
      <c r="CH14" s="386" t="s">
        <v>7</v>
      </c>
      <c r="CI14" s="386" t="s">
        <v>7</v>
      </c>
      <c r="CJ14" s="386" t="s">
        <v>7</v>
      </c>
      <c r="CK14" s="386" t="s">
        <v>7</v>
      </c>
      <c r="CL14" s="386" t="s">
        <v>7</v>
      </c>
      <c r="CM14" s="386" t="s">
        <v>7</v>
      </c>
      <c r="CN14" s="386" t="s">
        <v>7</v>
      </c>
      <c r="CO14" s="387" t="s">
        <v>7</v>
      </c>
      <c r="CP14" s="389" t="str">
        <f>"ANTEPRIMA"&amp;descrittive_A!AG90&amp;"                                                       CARATTERI RIMANENTI: "&amp;descrittive_A!J78</f>
        <v>ANTEPRIMA                                                                                           CARATTERI RIMANENTI: 424</v>
      </c>
      <c r="CQ14" s="390" t="str">
        <f>"ANTEPRIMA"&amp;descrittive_B!AG78&amp;"                                                       CARATTERI RIMANENTI: "&amp;descrittive_B!$J$66</f>
        <v>ANTEPRIMA                                                                                           CARATTERI RIMANENTI: 424</v>
      </c>
      <c r="CR14" s="153"/>
    </row>
    <row r="15" spans="1:100" s="302" customFormat="1" ht="99" customHeight="1" thickBot="1" x14ac:dyDescent="0.3">
      <c r="A15" s="550"/>
      <c r="B15" s="542"/>
      <c r="C15" s="391" t="str">
        <f>LEFT(STRINGA!B5,MAX(LEN(STRINGA!B5)-C$2,0))&amp;IF(C$2&lt;&gt;0,",","")&amp;RIGHT(STRINGA!B5,C$2)</f>
        <v xml:space="preserve">  </v>
      </c>
      <c r="D15" s="392" t="str">
        <f>LEFT(D13,7)&amp;"/"&amp;MID(D13,8,2)&amp;"/"&amp;MID(D13,10,100)</f>
        <v>//</v>
      </c>
      <c r="E15" s="392" t="str">
        <f>MID(M_ZERI &amp; E13,LEN(M_ZERI &amp; E13)-5,2)&amp;"/"&amp;RIGHT(E13,4)</f>
        <v>00/</v>
      </c>
      <c r="F15" s="392" t="str">
        <f>LEFT(STRINGA!E5,MAX(LEN(STRINGA!E5)-F$2,0))&amp;IF(F$2&lt;&gt;0,",","")&amp;RIGHT(STRINGA!E5,F$2)</f>
        <v xml:space="preserve">                                   </v>
      </c>
      <c r="G15" s="392" t="str">
        <f>MID(M_ZERI &amp; G13,LEN(M_ZERI &amp; G13)-7,2)&amp;"/"&amp;MID(M_ZERI &amp; G13,LEN(M_ZERI &amp; G13)-5,2)&amp;"/"&amp;RIGHT(G13,4)</f>
        <v>00/00/</v>
      </c>
      <c r="H15" s="392" t="str">
        <f>MID(M_ZERI &amp; H13,LEN(M_ZERI &amp; H13)-5,2)&amp;"/"&amp;RIGHT(H13,4)</f>
        <v>00/</v>
      </c>
      <c r="I15" s="392" t="str">
        <f>LEFT(STRINGA!H5,MAX(LEN(STRINGA!H5)-I$2,0))&amp;IF(I$2&lt;&gt;0,",","")&amp;RIGHT(STRINGA!H5,I$2)</f>
        <v xml:space="preserve">  </v>
      </c>
      <c r="J15" s="392" t="str">
        <f>LEFT(STRINGA!I5,MAX(LEN(STRINGA!I5)-J$2,0))&amp;IF(J$2&lt;&gt;0,",","")&amp;RIGHT(STRINGA!I5,J$2)</f>
        <v xml:space="preserve"> </v>
      </c>
      <c r="K15" s="392" t="str">
        <f>LEFT(STRINGA!J5,MAX(LEN(STRINGA!J5)-K$2,0))&amp;IF(K$2&lt;&gt;0,",","")&amp;RIGHT(STRINGA!J5,K$2)</f>
        <v xml:space="preserve"> </v>
      </c>
      <c r="L15" s="392" t="str">
        <f>LEFT(STRINGA!K5,MAX(LEN(STRINGA!K5)-L$2,0))&amp;IF(L$2&lt;&gt;0,",","")&amp;RIGHT(STRINGA!K5,L$2)</f>
        <v xml:space="preserve"> </v>
      </c>
      <c r="M15" s="392" t="str">
        <f>LEFT(STRINGA!L5,MAX(LEN(STRINGA!L5)-M$2,0))&amp;IF(M$2&lt;&gt;0,",","")&amp;RIGHT(STRINGA!L5,M$2)</f>
        <v xml:space="preserve"> </v>
      </c>
      <c r="N15" s="392" t="str">
        <f>LEFT(STRINGA!M5,MAX(LEN(STRINGA!M5)-N$2,0))&amp;IF(N$2&lt;&gt;0,",","")&amp;RIGHT(STRINGA!M5,N$2)</f>
        <v xml:space="preserve"> </v>
      </c>
      <c r="O15" s="392" t="str">
        <f>LEFT(STRINGA!N5,MAX(LEN(STRINGA!N5)-O$2,0))&amp;IF(O$2&lt;&gt;0,",","")&amp;RIGHT(STRINGA!N5,O$2)</f>
        <v xml:space="preserve">                                        </v>
      </c>
      <c r="P15" s="392" t="str">
        <f>LEFT(STRINGA!O5,MAX(LEN(STRINGA!O5)-P$2,0))&amp;IF(P$2&lt;&gt;0,",","")&amp;RIGHT(STRINGA!O5,P$2)</f>
        <v xml:space="preserve"> </v>
      </c>
      <c r="Q15" s="392" t="str">
        <f>LEFT(STRINGA!P5,MAX(LEN(STRINGA!P5)-Q$2,0))&amp;IF(Q$2&lt;&gt;0,",","")&amp;RIGHT(STRINGA!P5,Q$2)</f>
        <v xml:space="preserve">                                   </v>
      </c>
      <c r="R15" s="392" t="str">
        <f>LEFT(STRINGA!Q5,MAX(LEN(STRINGA!Q5)-R$2,0))&amp;IF(R$2&lt;&gt;0,",","")&amp;RIGHT(STRINGA!Q5,R$2)</f>
        <v xml:space="preserve">   </v>
      </c>
      <c r="S15" s="392" t="str">
        <f>LEFT(STRINGA!R5,MAX(LEN(STRINGA!R5)-S$2,0))&amp;IF(S$2&lt;&gt;0,",","")&amp;RIGHT(STRINGA!R5,S$2)</f>
        <v xml:space="preserve"> </v>
      </c>
      <c r="T15" s="392" t="str">
        <f>LEFT(STRINGA!S5,MAX(LEN(STRINGA!S5)-T$2,0))&amp;IF(T$2&lt;&gt;0,",","")&amp;RIGHT(STRINGA!S5,T$2)</f>
        <v>00</v>
      </c>
      <c r="U15" s="392" t="str">
        <f>LEFT(STRINGA!T5,MAX(LEN(STRINGA!T5)-U$2,0))&amp;IF(U$2&lt;&gt;0,",","")&amp;RIGHT(STRINGA!T5,U$2)</f>
        <v>00000</v>
      </c>
      <c r="V15" s="392" t="str">
        <f>LEFT(STRINGA!U5,MAX(LEN(STRINGA!U5)-V$2,0))&amp;IF(V$2&lt;&gt;0,",","")&amp;RIGHT(STRINGA!U5,V$2)</f>
        <v>000,0</v>
      </c>
      <c r="W15" s="392" t="str">
        <f>LEFT(STRINGA!V5,MAX(LEN(STRINGA!V5)-W$2,0))&amp;IF(W$2&lt;&gt;0,",","")&amp;RIGHT(STRINGA!V5,W$2)</f>
        <v xml:space="preserve">                    </v>
      </c>
      <c r="X15" s="392" t="str">
        <f>LEFT(STRINGA!W5,MAX(LEN(STRINGA!W5)-X$2,0))&amp;IF(X$2&lt;&gt;0,",","")&amp;RIGHT(STRINGA!W5,X$2)</f>
        <v>000</v>
      </c>
      <c r="Y15" s="392" t="str">
        <f>LEFT(STRINGA!X5,MAX(LEN(STRINGA!X5)-Y$2,0))&amp;IF(Y$2&lt;&gt;0,",","")&amp;RIGHT(STRINGA!X5,Y$2)</f>
        <v>0000</v>
      </c>
      <c r="Z15" s="392" t="str">
        <f>LEFT(STRINGA!Y5,MAX(LEN(STRINGA!Y5)-Z$2,0))&amp;IF(Z$2&lt;&gt;0,",","")&amp;RIGHT(STRINGA!Y5,Z$2)</f>
        <v>00000</v>
      </c>
      <c r="AA15" s="392" t="str">
        <f>LEFT(STRINGA!Z5,MAX(LEN(STRINGA!Z5)-AA$2,0))&amp;IF(AA$2&lt;&gt;0,",","")&amp;RIGHT(STRINGA!Z5,AA$2)</f>
        <v>0000</v>
      </c>
      <c r="AB15" s="392" t="str">
        <f>LEFT(STRINGA!AA5,MAX(LEN(STRINGA!AA5)-AB$2,0))&amp;IF(AB$2&lt;&gt;0,",","")&amp;RIGHT(STRINGA!AA5,AB$2)</f>
        <v>0000</v>
      </c>
      <c r="AC15" s="392" t="str">
        <f>LEFT(STRINGA!AB5,MAX(LEN(STRINGA!AB5)-AC$2,0))&amp;IF(AC$2&lt;&gt;0,",","")&amp;RIGHT(STRINGA!AB5,AC$2)</f>
        <v>0000</v>
      </c>
      <c r="AD15" s="392" t="str">
        <f>LEFT(STRINGA!AC5,MAX(LEN(STRINGA!AC5)-AD$2,0))&amp;IF(AD$2&lt;&gt;0,",","")&amp;RIGHT(STRINGA!AC5,AD$2)</f>
        <v>0,00</v>
      </c>
      <c r="AE15" s="392" t="str">
        <f>LEFT(STRINGA!AD5,MAX(LEN(STRINGA!AD5)-AE$2,0))&amp;IF(AE$2&lt;&gt;0,",","")&amp;RIGHT(STRINGA!AD5,AE$2)</f>
        <v xml:space="preserve"> </v>
      </c>
      <c r="AF15" s="392" t="str">
        <f>LEFT(STRINGA!AE5,MAX(LEN(STRINGA!AE5)-AF$2,0))&amp;IF(AF$2&lt;&gt;0,",","")&amp;RIGHT(STRINGA!AE5,AF$2)</f>
        <v>0000</v>
      </c>
      <c r="AG15" s="392" t="str">
        <f>LEFT(STRINGA!AF5,MAX(LEN(STRINGA!AF5)-AG$2,0))&amp;IF(AG$2&lt;&gt;0,",","")&amp;RIGHT(STRINGA!AF5,AG$2)</f>
        <v>0000</v>
      </c>
      <c r="AH15" s="392" t="str">
        <f>LEFT(STRINGA!AG5,MAX(LEN(STRINGA!AG5)-AH$2,0))&amp;IF(AH$2&lt;&gt;0,",","")&amp;RIGHT(STRINGA!AG5,AH$2)</f>
        <v>0000</v>
      </c>
      <c r="AI15" s="392" t="str">
        <f>LEFT(STRINGA!AH5,MAX(LEN(STRINGA!AH5)-AI$2,0))&amp;IF(AI$2&lt;&gt;0,",","")&amp;RIGHT(STRINGA!AH5,AI$2)</f>
        <v>00</v>
      </c>
      <c r="AJ15" s="392" t="str">
        <f>LEFT(STRINGA!AI5,MAX(LEN(STRINGA!AI5)-AJ$2,0))&amp;IF(AJ$2&lt;&gt;0,",","")&amp;RIGHT(STRINGA!AI5,AJ$2)</f>
        <v>00000</v>
      </c>
      <c r="AK15" s="392" t="str">
        <f>LEFT(STRINGA!AJ5,MAX(LEN(STRINGA!AJ5)-AK$2,0))&amp;IF(AK$2&lt;&gt;0,",","")&amp;RIGHT(STRINGA!AJ5,AK$2)</f>
        <v>000000</v>
      </c>
      <c r="AL15" s="392" t="str">
        <f>LEFT(STRINGA!AK5,MAX(LEN(STRINGA!AK5)-AL$2,0))&amp;IF(AL$2&lt;&gt;0,",","")&amp;RIGHT(STRINGA!AK5,AL$2)</f>
        <v>000000</v>
      </c>
      <c r="AM15" s="392" t="str">
        <f>LEFT(STRINGA!AL5,MAX(LEN(STRINGA!AL5)-AM$2,0))&amp;IF(AM$2&lt;&gt;0,",","")&amp;RIGHT(STRINGA!AL5,AM$2)</f>
        <v>00000</v>
      </c>
      <c r="AN15" s="392" t="str">
        <f>LEFT(STRINGA!AM5,MAX(LEN(STRINGA!AM5)-AN$2,0))&amp;IF(AN$2&lt;&gt;0,",","")&amp;RIGHT(STRINGA!AM5,AN$2)</f>
        <v>0</v>
      </c>
      <c r="AO15" s="517" t="str">
        <f>LEFT(STRINGA!AN5,MAX(LEN(STRINGA!AN5)-AO$2,0))&amp;IF(AO$2&lt;&gt;0,",","")&amp;RIGHT(STRINGA!AN5,AO$2)</f>
        <v>00000</v>
      </c>
      <c r="AP15" s="517" t="str">
        <f>LEFT(STRINGA!AO5,MAX(LEN(STRINGA!AO5)-AP$2,0))&amp;IF(AP$2&lt;&gt;0,",","")&amp;RIGHT(STRINGA!AO5,AP$2)</f>
        <v>0</v>
      </c>
      <c r="AQ15" s="392" t="str">
        <f>LEFT(STRINGA!AP5,MAX(LEN(STRINGA!AP5)-AQ$2,0))&amp;IF(AQ$2&lt;&gt;0,",","")&amp;RIGHT(STRINGA!AP5,AQ$2)</f>
        <v xml:space="preserve"> </v>
      </c>
      <c r="AR15" s="392" t="str">
        <f>LEFT(STRINGA!AQ5,MAX(LEN(STRINGA!AQ5)-AR$2,0))&amp;IF(AR$2&lt;&gt;0,",","")&amp;RIGHT(STRINGA!AQ5,AR$2)</f>
        <v xml:space="preserve">                                                                 </v>
      </c>
      <c r="AS15" s="392" t="str">
        <f>LEFT(STRINGA!AR5,MAX(LEN(STRINGA!AR5)-AS$2,0))&amp;IF(AS$2&lt;&gt;0,",","")&amp;RIGHT(STRINGA!AR5,AS$2)</f>
        <v xml:space="preserve"> </v>
      </c>
      <c r="AT15" s="392" t="str">
        <f>LEFT(STRINGA!AS5,MAX(LEN(STRINGA!AS5)-AT$2,0))&amp;IF(AT$2&lt;&gt;0,",","")&amp;RIGHT(STRINGA!AS5,AT$2)</f>
        <v xml:space="preserve"> </v>
      </c>
      <c r="AU15" s="392" t="str">
        <f>LEFT(STRINGA!AT5,MAX(LEN(STRINGA!AT5)-AU$2,0))&amp;IF(AU$2&lt;&gt;0,",","")&amp;RIGHT(STRINGA!AT5,AU$2)</f>
        <v>000</v>
      </c>
      <c r="AV15" s="392" t="str">
        <f>LEFT(STRINGA!AU5,MAX(LEN(STRINGA!AU5)-AV$2,0))&amp;IF(AV$2&lt;&gt;0,",","")&amp;RIGHT(STRINGA!AU5,AV$2)</f>
        <v>00,0</v>
      </c>
      <c r="AW15" s="392" t="str">
        <f>LEFT(STRINGA!AV5,MAX(LEN(STRINGA!AV5)-AW$2,0))&amp;IF(AW$2&lt;&gt;0,",","")&amp;RIGHT(STRINGA!AV5,AW$2)</f>
        <v>00,0</v>
      </c>
      <c r="AX15" s="392" t="str">
        <f>LEFT(STRINGA!AW5,MAX(LEN(STRINGA!AW5)-AX$2,0))&amp;IF(AX$2&lt;&gt;0,",","")&amp;RIGHT(STRINGA!AW5,AX$2)</f>
        <v xml:space="preserve">  </v>
      </c>
      <c r="AY15" s="392" t="str">
        <f>LEFT(STRINGA!AX5,MAX(LEN(STRINGA!AX5)-AY$2,0))&amp;IF(AY$2&lt;&gt;0,",","")&amp;RIGHT(STRINGA!AX5,AY$2)</f>
        <v xml:space="preserve">                                                     </v>
      </c>
      <c r="AZ15" s="392" t="str">
        <f>LEFT(STRINGA!AY5,MAX(LEN(STRINGA!AY5)-AZ$2,0))&amp;IF(AZ$2&lt;&gt;0,",","")&amp;RIGHT(STRINGA!AY5,AZ$2)</f>
        <v xml:space="preserve"> </v>
      </c>
      <c r="BA15" s="392" t="str">
        <f>LEFT(STRINGA!AZ5,MAX(LEN(STRINGA!AZ5)-BA$2,0))&amp;IF(BA$2&lt;&gt;0,",","")&amp;RIGHT(STRINGA!AZ5,BA$2)</f>
        <v xml:space="preserve"> </v>
      </c>
      <c r="BB15" s="392" t="str">
        <f>LEFT(STRINGA!BA5,MAX(LEN(STRINGA!BA5)-BB$2,0))&amp;IF(BB$2&lt;&gt;0,",","")&amp;RIGHT(STRINGA!BA5,BB$2)</f>
        <v xml:space="preserve"> </v>
      </c>
      <c r="BC15" s="392" t="str">
        <f>LEFT(STRINGA!BB5,MAX(LEN(STRINGA!BB5)-BC$2,0))&amp;IF(BC$2&lt;&gt;0,",","")&amp;RIGHT(STRINGA!BB5,BC$2)</f>
        <v xml:space="preserve"> </v>
      </c>
      <c r="BD15" s="392" t="str">
        <f>LEFT(STRINGA!BC5,MAX(LEN(STRINGA!BC5)-BD$2,0))&amp;IF(BD$2&lt;&gt;0,",","")&amp;RIGHT(STRINGA!BC5,BD$2)</f>
        <v xml:space="preserve"> </v>
      </c>
      <c r="BE15" s="392" t="str">
        <f>LEFT(STRINGA!BD5,MAX(LEN(STRINGA!BD5)-BE$2,0))&amp;IF(BE$2&lt;&gt;0,",","")&amp;RIGHT(STRINGA!BD5,BE$2)</f>
        <v xml:space="preserve">  </v>
      </c>
      <c r="BF15" s="392" t="str">
        <f>LEFT(STRINGA!BE5,MAX(LEN(STRINGA!BE5)-BF$2,0))&amp;IF(BF$2&lt;&gt;0,",","")&amp;RIGHT(STRINGA!BE5,BF$2)</f>
        <v xml:space="preserve">  </v>
      </c>
      <c r="BG15" s="392" t="str">
        <f>LEFT(STRINGA!BF5,MAX(LEN(STRINGA!BF5)-BG$2,0))&amp;IF(BG$2&lt;&gt;0,",","")&amp;RIGHT(STRINGA!BF5,BG$2)</f>
        <v xml:space="preserve">  </v>
      </c>
      <c r="BH15" s="392" t="str">
        <f>LEFT(STRINGA!BG5,MAX(LEN(STRINGA!BG5)-BH$2,0))&amp;IF(BH$2&lt;&gt;0,",","")&amp;RIGHT(STRINGA!BG5,BH$2)</f>
        <v xml:space="preserve">  </v>
      </c>
      <c r="BI15" s="392" t="str">
        <f>LEFT(STRINGA!BH5,MAX(LEN(STRINGA!BH5)-BI$2,0))&amp;IF(BI$2&lt;&gt;0,",","")&amp;RIGHT(STRINGA!BH5,BI$2)</f>
        <v xml:space="preserve">  </v>
      </c>
      <c r="BJ15" s="392" t="str">
        <f>LEFT(STRINGA!BI5,MAX(LEN(STRINGA!BI5)-BJ$2,0))&amp;IF(BJ$2&lt;&gt;0,",","")&amp;RIGHT(STRINGA!BI5,BJ$2)</f>
        <v>00000</v>
      </c>
      <c r="BK15" s="392" t="str">
        <f>LEFT(STRINGA!BJ5,MAX(LEN(STRINGA!BJ5)-BK$2,0))&amp;IF(BK$2&lt;&gt;0,",","")&amp;RIGHT(STRINGA!BJ5,BK$2)</f>
        <v>0000</v>
      </c>
      <c r="BL15" s="392" t="str">
        <f>LEFT(STRINGA!BK5,MAX(LEN(STRINGA!BK5)-BL$2,0))&amp;IF(BL$2&lt;&gt;0,",","")&amp;RIGHT(STRINGA!BK5,BL$2)</f>
        <v>0000</v>
      </c>
      <c r="BM15" s="392" t="str">
        <f>LEFT(STRINGA!BL5,MAX(LEN(STRINGA!BL5)-BM$2,0))&amp;IF(BM$2&lt;&gt;0,",","")&amp;RIGHT(STRINGA!BL5,BM$2)</f>
        <v>0000</v>
      </c>
      <c r="BN15" s="392" t="str">
        <f>LEFT(STRINGA!BM5,MAX(LEN(STRINGA!BM5)-BN$2,0))&amp;IF(BN$2&lt;&gt;0,",","")&amp;RIGHT(STRINGA!BM5,BN$2)</f>
        <v>0,00</v>
      </c>
      <c r="BO15" s="393" t="str">
        <f>LEFT(STRINGA!BN5,MAX(LEN(STRINGA!BN5)-BO$2,0))&amp;IF(BO$2&lt;&gt;0,",","")&amp;RIGHT(STRINGA!BN5,BO$2)</f>
        <v xml:space="preserve">   </v>
      </c>
      <c r="BP15" s="394" t="str">
        <f>LEFT(STRINGA!BO5,MAX(LEN(STRINGA!BO5)-BP$2,0))&amp;IF(BP$2&lt;&gt;0,",","")&amp;RIGHT(STRINGA!BO5,BP$2)</f>
        <v>00,0</v>
      </c>
      <c r="BQ15" s="392" t="str">
        <f>LEFT(STRINGA!BP5,MAX(LEN(STRINGA!BP5)-BQ$2,0))&amp;IF(BQ$2&lt;&gt;0,",","")&amp;RIGHT(STRINGA!BP5,BQ$2)</f>
        <v>00,0</v>
      </c>
      <c r="BR15" s="392" t="str">
        <f>LEFT(STRINGA!BQ5,MAX(LEN(STRINGA!BQ5)-BR$2,0))&amp;IF(BR$2&lt;&gt;0,",","")&amp;RIGHT(STRINGA!BQ5,BR$2)</f>
        <v>00,0</v>
      </c>
      <c r="BS15" s="392" t="str">
        <f>LEFT(STRINGA!BR5,MAX(LEN(STRINGA!BR5)-BS$2,0))&amp;IF(BS$2&lt;&gt;0,",","")&amp;RIGHT(STRINGA!BR5,BS$2)</f>
        <v>00,0</v>
      </c>
      <c r="BT15" s="392" t="str">
        <f>LEFT(STRINGA!BS5,MAX(LEN(STRINGA!BS5)-BT$2,0))&amp;IF(BT$2&lt;&gt;0,",","")&amp;RIGHT(STRINGA!BS5,BT$2)</f>
        <v>00,0</v>
      </c>
      <c r="BU15" s="392" t="str">
        <f>LEFT(STRINGA!BT5,MAX(LEN(STRINGA!BT5)-BU$2,0))&amp;IF(BU$2&lt;&gt;0,",","")&amp;RIGHT(STRINGA!BT5,BU$2)</f>
        <v>00,0</v>
      </c>
      <c r="BV15" s="392" t="str">
        <f>LEFT(STRINGA!BU5,MAX(LEN(STRINGA!BU5)-BV$2,0))&amp;IF(BV$2&lt;&gt;0,",","")&amp;RIGHT(STRINGA!BU5,BV$2)</f>
        <v>00,00</v>
      </c>
      <c r="BW15" s="392" t="str">
        <f>LEFT(STRINGA!BV5,MAX(LEN(STRINGA!BV5)-BW$2,0))&amp;IF(BW$2&lt;&gt;0,",","")&amp;RIGHT(STRINGA!BV5,BW$2)</f>
        <v>00,00</v>
      </c>
      <c r="BX15" s="392" t="str">
        <f>LEFT(STRINGA!BW5,MAX(LEN(STRINGA!BW5)-BX$2,0))&amp;IF(BX$2&lt;&gt;0,",","")&amp;RIGHT(STRINGA!BW5,BX$2)</f>
        <v>00,0</v>
      </c>
      <c r="BY15" s="392" t="str">
        <f>LEFT(STRINGA!BX5,MAX(LEN(STRINGA!BX5)-BY$2,0))&amp;IF(BY$2&lt;&gt;0,",","")&amp;RIGHT(STRINGA!BX5,BY$2)</f>
        <v>00,0</v>
      </c>
      <c r="BZ15" s="392" t="str">
        <f>LEFT(STRINGA!BY5,MAX(LEN(STRINGA!BY5)-BZ$2,0))&amp;IF(BZ$2&lt;&gt;0,",","")&amp;RIGHT(STRINGA!BY5,BZ$2)</f>
        <v>00,0</v>
      </c>
      <c r="CA15" s="392" t="str">
        <f>LEFT(STRINGA!BZ5,MAX(LEN(STRINGA!BZ5)-CA$2,0))&amp;IF(CA$2&lt;&gt;0,",","")&amp;RIGHT(STRINGA!BZ5,CA$2)</f>
        <v>00</v>
      </c>
      <c r="CB15" s="392" t="str">
        <f>LEFT(STRINGA!CA5,MAX(LEN(STRINGA!CA5)-CB$2,0))&amp;IF(CB$2&lt;&gt;0,",","")&amp;RIGHT(STRINGA!CA5,CB$2)</f>
        <v>00,0</v>
      </c>
      <c r="CC15" s="392" t="str">
        <f>LEFT(STRINGA!CB5,MAX(LEN(STRINGA!CB5)-CC$2,0))&amp;IF(CC$2&lt;&gt;0,",","")&amp;RIGHT(STRINGA!CB5,CC$2)</f>
        <v>00000</v>
      </c>
      <c r="CD15" s="392" t="str">
        <f>LEFT(STRINGA!CC5,MAX(LEN(STRINGA!CC5)-CD$2,0))&amp;IF(CD$2&lt;&gt;0,",","")&amp;RIGHT(STRINGA!CC5,CD$2)</f>
        <v>00,0</v>
      </c>
      <c r="CE15" s="392" t="str">
        <f>LEFT(STRINGA!CD5,MAX(LEN(STRINGA!CD5)-CE$2,0))&amp;IF(CE$2&lt;&gt;0,",","")&amp;RIGHT(STRINGA!CD5,CE$2)</f>
        <v>00</v>
      </c>
      <c r="CF15" s="392" t="str">
        <f>LEFT(STRINGA!CE5,MAX(LEN(STRINGA!CE5)-CF$2,0))&amp;IF(CF$2&lt;&gt;0,",","")&amp;RIGHT(STRINGA!CE5,CF$2)</f>
        <v>000000</v>
      </c>
      <c r="CG15" s="392" t="str">
        <f>LEFT(STRINGA!CF5,MAX(LEN(STRINGA!CF5)-CG$2,0))&amp;IF(CG$2&lt;&gt;0,",","")&amp;RIGHT(STRINGA!CF5,CG$2)</f>
        <v>000000</v>
      </c>
      <c r="CH15" s="392" t="str">
        <f>LEFT(STRINGA!CG5,MAX(LEN(STRINGA!CG5)-CH$2,0))&amp;IF(CH$2&lt;&gt;0,",","")&amp;RIGHT(STRINGA!CG5,CH$2)</f>
        <v>000000</v>
      </c>
      <c r="CI15" s="392" t="str">
        <f>LEFT(STRINGA!CH5,MAX(LEN(STRINGA!CH5)-CI$2,0))&amp;IF(CI$2&lt;&gt;0,",","")&amp;RIGHT(STRINGA!CH5,CI$2)</f>
        <v>00,0</v>
      </c>
      <c r="CJ15" s="392" t="str">
        <f>LEFT(STRINGA!CI5,MAX(LEN(STRINGA!CI5)-CJ$2,0))&amp;IF(CJ$2&lt;&gt;0,",","")&amp;RIGHT(STRINGA!CI5,CJ$2)</f>
        <v>00,0</v>
      </c>
      <c r="CK15" s="392" t="str">
        <f>LEFT(STRINGA!CJ5,MAX(LEN(STRINGA!CJ5)-CK$2,0))&amp;IF(CK$2&lt;&gt;0,",","")&amp;RIGHT(STRINGA!CJ5,CK$2)</f>
        <v>000000</v>
      </c>
      <c r="CL15" s="392" t="str">
        <f>LEFT(STRINGA!CK5,MAX(LEN(STRINGA!CK5)-CL$2,0))&amp;IF(CL$2&lt;&gt;0,",","")&amp;RIGHT(STRINGA!CK5,CL$2)</f>
        <v>00,0</v>
      </c>
      <c r="CM15" s="392" t="str">
        <f>LEFT(STRINGA!CL5,MAX(LEN(STRINGA!CL5)-CM$2,0))&amp;IF(CM$2&lt;&gt;0,",","")&amp;RIGHT(STRINGA!CL5,CM$2)</f>
        <v>00</v>
      </c>
      <c r="CN15" s="392" t="str">
        <f>LEFT(STRINGA!CM5,MAX(LEN(STRINGA!CM5)-CN$2,0))&amp;IF(CN$2&lt;&gt;0,",","")&amp;RIGHT(STRINGA!CM5,CN$2)</f>
        <v>00,0</v>
      </c>
      <c r="CO15" s="395" t="str">
        <f>LEFT(STRINGA!CN5,MAX(LEN(STRINGA!CN5)-CO$2,0))&amp;IF(CO$2&lt;&gt;0,",","")&amp;RIGHT(STRINGA!CN5,CO$2)</f>
        <v>00</v>
      </c>
      <c r="CP15" s="456" t="str">
        <f>descrittive_A!AN90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CQ15" s="457" t="str">
        <f>descrittive_B!AN78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CR15" s="301"/>
    </row>
    <row r="16" spans="1:100" ht="408.75" customHeight="1" x14ac:dyDescent="0.25">
      <c r="A16" s="80"/>
      <c r="B16" s="80"/>
      <c r="C16" s="81"/>
      <c r="D16" s="81"/>
      <c r="E16" s="81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</row>
  </sheetData>
  <sheetProtection password="F972" sheet="1" objects="1" scenarios="1" selectLockedCells="1"/>
  <sortState ref="AZ7:BE9">
    <sortCondition descending="1" ref="AZ7:AZ9"/>
  </sortState>
  <dataConsolidate/>
  <mergeCells count="6">
    <mergeCell ref="B10:B12"/>
    <mergeCell ref="B13:B15"/>
    <mergeCell ref="B7:B9"/>
    <mergeCell ref="B4:B6"/>
    <mergeCell ref="A1:A2"/>
    <mergeCell ref="A4:A15"/>
  </mergeCells>
  <conditionalFormatting sqref="CP5:CQ6">
    <cfRule type="expression" dxfId="6" priority="1">
      <formula>IF(OR(IFERROR(FIND("ERRORE",CP$5)&gt;0,FALSE),IFERROR(FIND("RIMANENTI: -",CP$5)&gt;0,FALSE)),TRUE,FALSE)</formula>
    </cfRule>
  </conditionalFormatting>
  <conditionalFormatting sqref="C4:CO4 C7:CO7 C10:CO10 C13:CO13">
    <cfRule type="expression" dxfId="5" priority="7">
      <formula>IF(C5&lt;&gt;"ANTEPRIMA",TRUE,FALSE)</formula>
    </cfRule>
    <cfRule type="expression" dxfId="4" priority="113">
      <formula>IF(IFERROR(FIND("[elenco]",C$3),0)&gt;0,FALSE,IF(LEN(C4)&gt;C$1,TRUE,FALSE))</formula>
    </cfRule>
  </conditionalFormatting>
  <conditionalFormatting sqref="CP8:CQ9">
    <cfRule type="expression" dxfId="3" priority="2">
      <formula>IF(OR(IFERROR(FIND("ERRORE",CP$8)&gt;0,FALSE),IFERROR(FIND("RIMANENTI: -",CP$8)&gt;0,FALSE)),TRUE,FALSE)</formula>
    </cfRule>
  </conditionalFormatting>
  <conditionalFormatting sqref="CP11:CQ12">
    <cfRule type="expression" dxfId="2" priority="3">
      <formula>IF(OR(IFERROR(FIND("ERRORE",CP$11)&gt;0,FALSE),IFERROR(FIND("RIMANENTI: -",CP$11)&gt;0,FALSE)),TRUE,FALSE)</formula>
    </cfRule>
  </conditionalFormatting>
  <conditionalFormatting sqref="CP14:CQ15">
    <cfRule type="expression" dxfId="1" priority="6">
      <formula>IF(OR(IFERROR(FIND("ERRORE",CP$14)&gt;0,FALSE),IFERROR(FIND("RIMANENTI: -",CP$14)&gt;0,FALSE)),TRUE,FALSE)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70" yWindow="395" count="21"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IF(descrittive_A!J6&gt;=0,TRUE,FALSE)</xm:f>
          </x14:formula1>
          <xm:sqref>CP4</xm:sqref>
        </x14:dataValidation>
        <x14:dataValidation type="list" allowBlank="1" showInputMessage="1" showErrorMessage="1">
          <x14:formula1>
            <xm:f>ELENCHI!$D$23:$D$27</xm:f>
          </x14:formula1>
          <xm:sqref>C4 C7 C10 C13</xm:sqref>
        </x14:dataValidation>
        <x14:dataValidation type="list" allowBlank="1" showInputMessage="1" showErrorMessage="1">
          <x14:formula1>
            <xm:f>ELENCHI!$J$23:$J$68</xm:f>
          </x14:formula1>
          <xm:sqref>I4 I7 I10 I13</xm:sqref>
        </x14:dataValidation>
        <x14:dataValidation type="list" allowBlank="1" showInputMessage="1" showErrorMessage="1">
          <x14:formula1>
            <xm:f>ELENCHI!$O$23:$O$47</xm:f>
          </x14:formula1>
          <xm:sqref>J4:N4 J7:N7 J10:N10 J13:N13</xm:sqref>
        </x14:dataValidation>
        <x14:dataValidation type="list" allowBlank="1" showInputMessage="1" showErrorMessage="1">
          <x14:formula1>
            <xm:f>ELENCHI!$AN$23:$AN$25</xm:f>
          </x14:formula1>
          <xm:sqref>P4 P7 P10 P13</xm:sqref>
        </x14:dataValidation>
        <x14:dataValidation type="list" allowBlank="1" showInputMessage="1" showErrorMessage="1">
          <x14:formula1>
            <xm:f>ELENCHI!$S$23:$S$29</xm:f>
          </x14:formula1>
          <xm:sqref>R4 R7 R10 R13</xm:sqref>
        </x14:dataValidation>
        <x14:dataValidation type="list" allowBlank="1" showInputMessage="1" showErrorMessage="1">
          <x14:formula1>
            <xm:f>ELENCHI!$AP$23:$AP$26</xm:f>
          </x14:formula1>
          <xm:sqref>S4 S7 S10 S13</xm:sqref>
        </x14:dataValidation>
        <x14:dataValidation type="list" allowBlank="1" showInputMessage="1" showErrorMessage="1">
          <x14:formula1>
            <xm:f>ELENCHI!$AW$23:$AW$26</xm:f>
          </x14:formula1>
          <xm:sqref>AE4 AE7 AE10 AE13</xm:sqref>
        </x14:dataValidation>
        <x14:dataValidation type="list" allowBlank="1" showInputMessage="1" showErrorMessage="1">
          <x14:formula1>
            <xm:f>ELENCHI!$BA$23:$BA$26</xm:f>
          </x14:formula1>
          <xm:sqref>AQ4 AQ7 AQ10 AQ13</xm:sqref>
        </x14:dataValidation>
        <x14:dataValidation type="list" allowBlank="1" showInputMessage="1" showErrorMessage="1">
          <x14:formula1>
            <xm:f>ELENCHI!$W$23:$W$34</xm:f>
          </x14:formula1>
          <xm:sqref>AS4:AT4 AS7:AT7 AS10:AT10 AS13:AT13</xm:sqref>
        </x14:dataValidation>
        <x14:dataValidation type="list" allowBlank="1" showInputMessage="1" showErrorMessage="1">
          <x14:formula1>
            <xm:f>ELENCHI!$AJ$23:$AJ$25</xm:f>
          </x14:formula1>
          <xm:sqref>AX4 AX7 AX10 AX13</xm:sqref>
        </x14:dataValidation>
        <x14:dataValidation type="list" allowBlank="1" showInputMessage="1" showErrorMessage="1">
          <x14:formula1>
            <xm:f>ELENCHI!$AA$23:$AA$36</xm:f>
          </x14:formula1>
          <xm:sqref>AZ4:BD4 AZ7:BD7 AZ10:BD10 AZ13:BD13</xm:sqref>
        </x14:dataValidation>
        <x14:dataValidation type="list" allowBlank="1" showInputMessage="1" showErrorMessage="1">
          <x14:formula1>
            <xm:f>ELENCHI!$AF$23:$AF$123</xm:f>
          </x14:formula1>
          <xm:sqref>BE4:BI4 BE7:BI7 BE10:BI10 BE13:BI13</xm:sqref>
        </x14:dataValidation>
        <x14:dataValidation type="list" allowBlank="1" showInputMessage="1" showErrorMessage="1">
          <x14:formula1>
            <xm:f>ELENCHI!$BE$23:$BE$25</xm:f>
          </x14:formula1>
          <xm:sqref>BO4 BO7 BO10 BO13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IF(descrittive_B!J6&gt;=0,TRUE,FALSE)</xm:f>
          </x14:formula1>
          <xm:sqref>CQ4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IF(descrittive_A!J30&gt;=0,TRUE,FALSE)</xm:f>
          </x14:formula1>
          <xm:sqref>CP7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IF(descrittive_B!J30&gt;=0,TRUE,FALSE)</xm:f>
          </x14:formula1>
          <xm:sqref>CQ7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IF(descrittive_A!J54&gt;=0,TRUE,FALSE)</xm:f>
          </x14:formula1>
          <xm:sqref>CP10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IF(descrittive_B!J54&gt;=0,TRUE,FALSE)</xm:f>
          </x14:formula1>
          <xm:sqref>CQ10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IF(descrittive_A!J78&gt;=0,TRUE,FALSE)</xm:f>
          </x14:formula1>
          <xm:sqref>CP13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IF(descrittive_B!J78&gt;=0,TRUE,FALSE)</xm:f>
          </x14:formula1>
          <xm:sqref>CQ13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7"/>
  </sheetPr>
  <dimension ref="A1:T74"/>
  <sheetViews>
    <sheetView showGridLines="0" view="pageLayout" zoomScale="130" zoomScaleNormal="100" zoomScaleSheetLayoutView="130" zoomScalePageLayoutView="130" workbookViewId="0">
      <selection activeCell="E2" sqref="E2:G2"/>
    </sheetView>
  </sheetViews>
  <sheetFormatPr defaultRowHeight="12" x14ac:dyDescent="0.25"/>
  <cols>
    <col min="1" max="1" width="6" style="200" customWidth="1"/>
    <col min="2" max="2" width="2.85546875" style="200" customWidth="1"/>
    <col min="3" max="3" width="7.28515625" style="200" customWidth="1"/>
    <col min="4" max="4" width="5.5703125" style="200" customWidth="1"/>
    <col min="5" max="5" width="7.5703125" style="200" customWidth="1"/>
    <col min="6" max="6" width="8" style="200" customWidth="1"/>
    <col min="7" max="7" width="7.5703125" style="200" customWidth="1"/>
    <col min="8" max="8" width="7.7109375" style="200" customWidth="1"/>
    <col min="9" max="9" width="1" style="200" customWidth="1"/>
    <col min="10" max="10" width="8.140625" style="200" customWidth="1"/>
    <col min="11" max="11" width="6" style="200" customWidth="1"/>
    <col min="12" max="12" width="5.5703125" style="200" customWidth="1"/>
    <col min="13" max="14" width="7" style="200" customWidth="1"/>
    <col min="15" max="15" width="8.140625" style="200" customWidth="1"/>
    <col min="16" max="16" width="1.85546875" style="200" customWidth="1"/>
    <col min="17" max="17" width="9.140625" style="199" customWidth="1"/>
    <col min="18" max="20" width="9.140625" style="199"/>
    <col min="21" max="16384" width="9.140625" style="200"/>
  </cols>
  <sheetData>
    <row r="1" spans="1:16" ht="19.5" x14ac:dyDescent="0.25">
      <c r="A1" s="195" t="s">
        <v>108</v>
      </c>
      <c r="B1" s="196"/>
      <c r="C1" s="196"/>
      <c r="D1" s="196"/>
      <c r="E1" s="197"/>
      <c r="F1" s="197"/>
      <c r="G1" s="197"/>
      <c r="H1" s="198"/>
      <c r="I1" s="570" t="str">
        <f>AUTORE</f>
        <v>Centro Prova Autoveicoli di Milano con sezione di Brescia</v>
      </c>
      <c r="J1" s="571"/>
      <c r="K1" s="571"/>
      <c r="L1" s="571"/>
      <c r="M1" s="571"/>
      <c r="N1" s="521"/>
      <c r="O1" s="522"/>
      <c r="P1" s="523"/>
    </row>
    <row r="2" spans="1:16" ht="19.5" x14ac:dyDescent="0.2">
      <c r="A2" s="551" t="s">
        <v>109</v>
      </c>
      <c r="B2" s="552"/>
      <c r="C2" s="552"/>
      <c r="D2" s="553"/>
      <c r="E2" s="560" t="s">
        <v>874</v>
      </c>
      <c r="F2" s="560"/>
      <c r="G2" s="560"/>
      <c r="H2" s="198"/>
      <c r="I2" s="572"/>
      <c r="J2" s="573"/>
      <c r="K2" s="573"/>
      <c r="L2" s="573"/>
      <c r="M2" s="573"/>
      <c r="N2" s="524"/>
      <c r="O2" s="525"/>
      <c r="P2" s="526"/>
    </row>
    <row r="3" spans="1:16" ht="19.5" x14ac:dyDescent="0.2">
      <c r="A3" s="557" t="s">
        <v>110</v>
      </c>
      <c r="B3" s="558"/>
      <c r="C3" s="558"/>
      <c r="D3" s="559"/>
      <c r="E3" s="564" t="str">
        <f>LEFT(E2,1)</f>
        <v>1</v>
      </c>
      <c r="F3" s="565"/>
      <c r="G3" s="566"/>
      <c r="H3" s="198"/>
      <c r="I3" s="572"/>
      <c r="J3" s="573"/>
      <c r="K3" s="573"/>
      <c r="L3" s="573"/>
      <c r="M3" s="573"/>
      <c r="N3" s="524"/>
      <c r="O3" s="525"/>
      <c r="P3" s="526"/>
    </row>
    <row r="4" spans="1:16" ht="12.75" x14ac:dyDescent="0.25">
      <c r="A4" s="554" t="s">
        <v>111</v>
      </c>
      <c r="B4" s="555"/>
      <c r="C4" s="555"/>
      <c r="D4" s="556"/>
      <c r="E4" s="567" t="str">
        <f ca="1">INDIRECT("STRINGA!A"&amp;$E$3+IMPOSTAZIONI!$B$24)</f>
        <v>BCS</v>
      </c>
      <c r="F4" s="568"/>
      <c r="G4" s="569"/>
      <c r="H4" s="198"/>
      <c r="I4" s="574"/>
      <c r="J4" s="575"/>
      <c r="K4" s="575"/>
      <c r="L4" s="575"/>
      <c r="M4" s="575"/>
      <c r="N4" s="576" t="str">
        <f>VERSIONE</f>
        <v>v1.5</v>
      </c>
      <c r="O4" s="576"/>
      <c r="P4" s="577"/>
    </row>
    <row r="5" spans="1:16" ht="3" customHeight="1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</row>
    <row r="6" spans="1:16" ht="15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3" t="s">
        <v>112</v>
      </c>
      <c r="K6" s="202"/>
      <c r="L6" s="202"/>
      <c r="M6" s="202"/>
      <c r="N6" s="202"/>
      <c r="O6" s="202"/>
      <c r="P6" s="202"/>
    </row>
    <row r="7" spans="1:16" ht="4.5" customHeight="1" x14ac:dyDescent="0.25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6"/>
    </row>
    <row r="8" spans="1:16" x14ac:dyDescent="0.25">
      <c r="A8" s="100" t="s">
        <v>113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207"/>
    </row>
    <row r="9" spans="1:16" x14ac:dyDescent="0.25">
      <c r="A9" s="100" t="s">
        <v>114</v>
      </c>
      <c r="B9" s="101"/>
      <c r="C9" s="101"/>
      <c r="D9" s="446" t="str">
        <f ca="1">INDIRECT("STRINGA!B"&amp;$E$3+IMPOSTAZIONI!$B$24)</f>
        <v>II</v>
      </c>
      <c r="E9" s="208"/>
      <c r="F9" s="101" t="s">
        <v>115</v>
      </c>
      <c r="G9" s="101"/>
      <c r="H9" s="563" t="str">
        <f ca="1">LEFT(INDIRECT("STRINGA!C"&amp;$E$3+IMPOSTAZIONI!$B$24),7)&amp;"/"&amp;MID(INDIRECT("STRINGA!C"&amp;$E$3+IMPOSTAZIONI!$B$24),8,2)&amp;"/"&amp;MID(INDIRECT("STRINGA!C"&amp;$E$3+IMPOSTAZIONI!$B$24),10,100)</f>
        <v>EU96125/MO/CPBS/23</v>
      </c>
      <c r="I9" s="563"/>
      <c r="J9" s="563"/>
      <c r="K9" s="563"/>
      <c r="L9" s="101"/>
      <c r="M9" s="210" t="s">
        <v>116</v>
      </c>
      <c r="N9" s="102" t="str">
        <f ca="1">LEFT(INDIRECT("STRINGA!D"&amp;$E$3+IMPOSTAZIONI!$B$24),2)&amp;"/"&amp;RIGHT(INDIRECT("STRINGA!D"&amp;$E$3+IMPOSTAZIONI!$B$24),4)</f>
        <v>01/2023</v>
      </c>
      <c r="O9" s="101"/>
      <c r="P9" s="207"/>
    </row>
    <row r="10" spans="1:16" x14ac:dyDescent="0.25">
      <c r="A10" s="100" t="s">
        <v>117</v>
      </c>
      <c r="B10" s="101"/>
      <c r="C10" s="101"/>
      <c r="D10" s="234" t="str">
        <f t="array" aca="1" ref="D10" ca="1">INDIRECT("STRINGA!E"&amp;$E$3+IMPOSTAZIONI!$B$24)</f>
        <v xml:space="preserve">E3*2010/22/0084*07                 </v>
      </c>
      <c r="E10" s="102"/>
      <c r="G10" s="209"/>
      <c r="H10" s="187"/>
      <c r="I10" s="101"/>
      <c r="J10" s="101"/>
      <c r="K10" s="307"/>
      <c r="L10" s="309"/>
      <c r="M10" s="210" t="s">
        <v>118</v>
      </c>
      <c r="N10" s="102" t="str">
        <f ca="1">LEFT(INDIRECT("STRINGA!F"&amp;$E$3+IMPOSTAZIONI!$B$24),2)&amp;"/"&amp;MID(INDIRECT("STRINGA!F"&amp;$E$3+IMPOSTAZIONI!$B$24),3,2)&amp;"/"&amp;RIGHT(INDIRECT("STRINGA!F"&amp;$E$3+IMPOSTAZIONI!$B$24),4)</f>
        <v xml:space="preserve">  /  /    </v>
      </c>
      <c r="O10" s="103"/>
      <c r="P10" s="207"/>
    </row>
    <row r="11" spans="1:16" x14ac:dyDescent="0.25">
      <c r="A11" s="100" t="s">
        <v>119</v>
      </c>
      <c r="B11" s="101"/>
      <c r="C11" s="102" t="str">
        <f t="array" aca="1" ref="C11" ca="1">LEFT(INDIRECT("STRINGA!G"&amp;$E$3+IMPOSTAZIONI!$B$24),2)&amp;"/"&amp;RIGHT(INDIRECT("STRINGA!G"&amp;$E$3+IMPOSTAZIONI!$B$24),4)</f>
        <v xml:space="preserve">  /    </v>
      </c>
      <c r="D11" s="188"/>
      <c r="E11" s="188"/>
      <c r="F11" s="208"/>
      <c r="G11" s="101" t="s">
        <v>120</v>
      </c>
      <c r="H11" s="193" t="str">
        <f t="array" aca="1" ref="H11" ca="1">INDIRECT("STRINGA!H"&amp;$E$3+IMPOSTAZIONI!$B$24)</f>
        <v>1S</v>
      </c>
      <c r="I11" s="306"/>
      <c r="J11" s="101"/>
      <c r="K11" s="309"/>
      <c r="L11" s="309"/>
      <c r="M11" s="210" t="s">
        <v>121</v>
      </c>
      <c r="N11" s="235" t="str">
        <f t="array" aca="1" ref="N11" ca="1">INDIRECT("STRINGA!I"&amp;$E$3+IMPOSTAZIONI!$B$24)&amp;INDIRECT("STRINGA!J"&amp;$E$3+IMPOSTAZIONI!$B$24)&amp;INDIRECT("STRINGA!K"&amp;$E$3+IMPOSTAZIONI!$B$24)&amp;INDIRECT("STRINGA!L"&amp;$E$3+IMPOSTAZIONI!$B$24)&amp;INDIRECT("STRINGA!M"&amp;$E$3+IMPOSTAZIONI!$B$24)</f>
        <v xml:space="preserve">ABS  </v>
      </c>
      <c r="O11" s="101"/>
      <c r="P11" s="207"/>
    </row>
    <row r="12" spans="1:16" x14ac:dyDescent="0.25">
      <c r="A12" s="100" t="s">
        <v>122</v>
      </c>
      <c r="B12" s="101"/>
      <c r="C12" s="101"/>
      <c r="D12" s="235" t="str">
        <f t="array" aca="1" ref="D12" ca="1">INDIRECT("STRINGA!N"&amp;$E$3+IMPOSTAZIONI!$B$24)</f>
        <v xml:space="preserve">BCS ARH2/3 AKV 05B VOLCAN K 105 AR      </v>
      </c>
      <c r="E12" s="102"/>
      <c r="F12" s="103"/>
      <c r="G12" s="103"/>
      <c r="H12" s="103"/>
      <c r="I12" s="103"/>
      <c r="J12" s="103"/>
      <c r="K12" s="189"/>
      <c r="L12" s="101"/>
      <c r="M12" s="210" t="s">
        <v>123</v>
      </c>
      <c r="N12" s="400" t="str">
        <f t="array" aca="1" ref="N12" ca="1">INDIRECT("STRINGA!O"&amp;$E$3+IMPOSTAZIONI!$B$24)</f>
        <v>I</v>
      </c>
      <c r="O12" s="208"/>
      <c r="P12" s="211"/>
    </row>
    <row r="13" spans="1:16" x14ac:dyDescent="0.25">
      <c r="A13" s="100" t="s">
        <v>26</v>
      </c>
      <c r="B13" s="101"/>
      <c r="C13" s="102" t="str">
        <f t="array" aca="1" ref="C13" ca="1">INDIRECT("STRINGA!P"&amp;$E$3+IMPOSTAZIONI!$B$24)</f>
        <v xml:space="preserve">kubota v3800-cr-t-eu3              </v>
      </c>
      <c r="D13" s="102"/>
      <c r="E13" s="103"/>
      <c r="F13" s="103"/>
      <c r="G13" s="103"/>
      <c r="H13" s="212" t="s">
        <v>124</v>
      </c>
      <c r="I13" s="562" t="str">
        <f t="array" aca="1" ref="I13" ca="1">INDIRECT("STRINGA!Q"&amp;$E$3+IMPOSTAZIONI!$B$24)</f>
        <v xml:space="preserve">G  </v>
      </c>
      <c r="J13" s="562"/>
      <c r="K13" s="101" t="s">
        <v>125</v>
      </c>
      <c r="L13" s="399" t="str">
        <f ca="1">INDIRECT("STRINGA!R"&amp;$E$3+IMPOSTAZIONI!$B$24)</f>
        <v>4</v>
      </c>
      <c r="M13" s="188" t="s">
        <v>126</v>
      </c>
      <c r="N13" s="224" t="str">
        <f ca="1">INDIRECT("STRINGA!S"&amp;$E$3+IMPOSTAZIONI!$B$24)</f>
        <v>00</v>
      </c>
      <c r="P13" s="211"/>
    </row>
    <row r="14" spans="1:16" x14ac:dyDescent="0.25">
      <c r="A14" s="100" t="s">
        <v>127</v>
      </c>
      <c r="B14" s="193" t="str">
        <f t="array" aca="1" ref="B14" ca="1">INDIRECT("STRINGA!T"&amp;$E$3+IMPOSTAZIONI!$B$24)</f>
        <v>03769</v>
      </c>
      <c r="C14" s="102"/>
      <c r="D14" s="188" t="s">
        <v>128</v>
      </c>
      <c r="E14" s="188"/>
      <c r="F14" s="193" t="str">
        <f ca="1">LEFT(INDIRECT("STRINGA!U"&amp;$E$3+IMPOSTAZIONI!$B$24),3)&amp;","&amp;RIGHT(INDIRECT("STRINGA!U"&amp;$E$3+IMPOSTAZIONI!$B$24),1)</f>
        <v>721,0</v>
      </c>
      <c r="G14" s="101" t="s">
        <v>129</v>
      </c>
      <c r="H14" s="102" t="str">
        <f t="array" aca="1" ref="H14" ca="1">INDIRECT("STRINGA!V"&amp;$E$3+IMPOSTAZIONI!$B$24)</f>
        <v xml:space="preserve">                    </v>
      </c>
      <c r="I14" s="308"/>
      <c r="K14" s="103"/>
      <c r="L14" s="212" t="s">
        <v>130</v>
      </c>
      <c r="M14" s="193" t="str">
        <f t="array" aca="1" ref="M14" ca="1">INDIRECT("STRINGA!W"&amp;$E$3+IMPOSTAZIONI!$B$24)</f>
        <v>000</v>
      </c>
      <c r="N14" s="212" t="s">
        <v>131</v>
      </c>
      <c r="O14" s="193" t="str">
        <f t="array" aca="1" ref="O14" ca="1">INDIRECT("STRINGA!X"&amp;$E$3+IMPOSTAZIONI!$B$24)</f>
        <v>0000</v>
      </c>
      <c r="P14" s="211"/>
    </row>
    <row r="15" spans="1:16" x14ac:dyDescent="0.25">
      <c r="A15" s="100" t="s">
        <v>132</v>
      </c>
      <c r="B15" s="193" t="str">
        <f t="array" aca="1" ref="B15" ca="1">INDIRECT("STRINGA!Y"&amp;$E$3+IMPOSTAZIONI!$B$24)</f>
        <v>04295</v>
      </c>
      <c r="C15" s="102"/>
      <c r="D15" s="188" t="s">
        <v>133</v>
      </c>
      <c r="E15" s="102" t="str">
        <f t="array" aca="1" ref="E15" ca="1">INDIRECT("STRINGA!Z"&amp;$E$3+IMPOSTAZIONI!$B$24)</f>
        <v>1650</v>
      </c>
      <c r="F15" s="188" t="s">
        <v>134</v>
      </c>
      <c r="G15" s="102" t="str">
        <f t="array" aca="1" ref="G15" ca="1">INDIRECT("STRINGA!AA"&amp;$E$3+IMPOSTAZIONI!$B$24)</f>
        <v>1350</v>
      </c>
      <c r="H15" s="212"/>
      <c r="I15" s="212" t="s">
        <v>135</v>
      </c>
      <c r="J15" s="102" t="str">
        <f t="array" aca="1" ref="J15" ca="1">INDIRECT("STRINGA!AB"&amp;$E$3+IMPOSTAZIONI!$B$24)</f>
        <v>1450</v>
      </c>
      <c r="L15" s="101" t="s">
        <v>136</v>
      </c>
      <c r="M15" s="102" t="str">
        <f ca="1">LEFT(INDIRECT("STRINGA!AC"&amp;$E$3+IMPOSTAZIONI!$B$24),1)&amp;","&amp;RIGHT(INDIRECT("STRINGA!AC"&amp;$E$3+IMPOSTAZIONI!$B$24),2)</f>
        <v>3,50</v>
      </c>
      <c r="N15" s="210" t="s">
        <v>137</v>
      </c>
      <c r="O15" s="193" t="str">
        <f t="array" aca="1" ref="O15" ca="1">INDIRECT("STRINGA!AD"&amp;$E$3+IMPOSTAZIONI!$B$24)</f>
        <v xml:space="preserve"> </v>
      </c>
      <c r="P15" s="211"/>
    </row>
    <row r="16" spans="1:16" x14ac:dyDescent="0.25">
      <c r="A16" s="100"/>
      <c r="B16" s="101"/>
      <c r="C16" s="210" t="s">
        <v>138</v>
      </c>
      <c r="D16" s="193" t="str">
        <f t="array" aca="1" ref="D16" ca="1">INDIRECT("STRINGA!AE"&amp;$E$3+IMPOSTAZIONI!$B$24)</f>
        <v>1495</v>
      </c>
      <c r="E16" s="101"/>
      <c r="F16" s="210" t="s">
        <v>139</v>
      </c>
      <c r="G16" s="102" t="str">
        <f t="array" aca="1" ref="G16" ca="1">INDIRECT("STRINGA!AF"&amp;$E$3+IMPOSTAZIONI!$B$24)</f>
        <v>0000</v>
      </c>
      <c r="H16" s="101"/>
      <c r="I16" s="101"/>
      <c r="J16" s="210" t="s">
        <v>140</v>
      </c>
      <c r="K16" s="102" t="str">
        <f t="array" aca="1" ref="K16" ca="1">INDIRECT("STRINGA!AG"&amp;$E$3+IMPOSTAZIONI!$B$24)</f>
        <v>0000</v>
      </c>
      <c r="L16" s="104"/>
      <c r="M16" s="101" t="s">
        <v>141</v>
      </c>
      <c r="N16" s="193" t="str">
        <f t="array" aca="1" ref="N16" ca="1">INDIRECT("STRINGA!AH"&amp;$E$3+IMPOSTAZIONI!$B$24)</f>
        <v>02</v>
      </c>
      <c r="O16" s="306"/>
      <c r="P16" s="191"/>
    </row>
    <row r="17" spans="1:20" x14ac:dyDescent="0.25">
      <c r="A17" s="100" t="s">
        <v>142</v>
      </c>
      <c r="B17" s="102" t="str">
        <f t="array" aca="1" ref="B17" ca="1">INDIRECT("STRINGA!AI"&amp;$E$3+IMPOSTAZIONI!$B$24)</f>
        <v>03500</v>
      </c>
      <c r="C17" s="102"/>
      <c r="D17" s="101" t="s">
        <v>143</v>
      </c>
      <c r="E17" s="190"/>
      <c r="F17" s="193" t="str">
        <f t="array" aca="1" ref="F17" ca="1">INDIRECT("STRINGA!AJ"&amp;$E$3+IMPOSTAZIONI!$B$24)</f>
        <v>003500</v>
      </c>
      <c r="G17" s="213" t="s">
        <v>144</v>
      </c>
      <c r="H17" s="102" t="str">
        <f t="array" aca="1" ref="H17" ca="1">INDIRECT("STRINGA!AK"&amp;$E$3+IMPOSTAZIONI!$B$24)</f>
        <v>003500</v>
      </c>
      <c r="I17" s="306"/>
      <c r="J17" s="189"/>
      <c r="K17" s="101" t="s">
        <v>145</v>
      </c>
      <c r="L17" s="190"/>
      <c r="M17" s="102" t="str">
        <f t="array" aca="1" ref="M17" ca="1">INDIRECT("STRINGA!AL"&amp;$E$3+IMPOSTAZIONI!$B$24)</f>
        <v>00000</v>
      </c>
      <c r="N17" s="101" t="s">
        <v>146</v>
      </c>
      <c r="O17" s="193" t="str">
        <f t="array" aca="1" ref="O17" ca="1">INDIRECT("STRINGA!AM"&amp;$E$3+IMPOSTAZIONI!$B$24)</f>
        <v>0</v>
      </c>
      <c r="P17" s="191"/>
    </row>
    <row r="18" spans="1:20" x14ac:dyDescent="0.25">
      <c r="A18" s="192"/>
      <c r="B18" s="188"/>
      <c r="C18" s="188"/>
      <c r="D18" s="190"/>
      <c r="E18" s="189"/>
      <c r="F18" s="188"/>
      <c r="G18" s="190"/>
      <c r="H18" s="188"/>
      <c r="I18" s="188"/>
      <c r="J18" s="190"/>
      <c r="K18" s="101" t="s">
        <v>145</v>
      </c>
      <c r="L18" s="306"/>
      <c r="M18" s="102" t="str">
        <f t="array" aca="1" ref="M18" ca="1">INDIRECT("STRINGA!AN"&amp;$E$3+IMPOSTAZIONI!$B$24)</f>
        <v>00000</v>
      </c>
      <c r="N18" s="101" t="s">
        <v>146</v>
      </c>
      <c r="O18" s="193" t="str">
        <f t="array" aca="1" ref="O18" ca="1">INDIRECT("STRINGA!AO"&amp;$E$3+IMPOSTAZIONI!$B$24)</f>
        <v>0</v>
      </c>
      <c r="P18" s="207"/>
    </row>
    <row r="19" spans="1:20" x14ac:dyDescent="0.25">
      <c r="A19" s="100" t="s">
        <v>147</v>
      </c>
      <c r="B19" s="102" t="str">
        <f t="array" aca="1" ref="B19" ca="1">INDIRECT("STRINGA!AP"&amp;$E$3+IMPOSTAZIONI!$B$24)</f>
        <v xml:space="preserve"> </v>
      </c>
      <c r="C19" s="193" t="str">
        <f t="array" aca="1" ref="C19" ca="1">"/"&amp;INDIRECT("STRINGA!AQ"&amp;$E$3+IMPOSTAZIONI!$B$24)</f>
        <v xml:space="preserve">/340/65 R20 124A8 121B S.S.                                       </v>
      </c>
      <c r="D19" s="187"/>
      <c r="E19" s="187"/>
      <c r="F19" s="187"/>
      <c r="G19" s="193"/>
      <c r="H19" s="187"/>
      <c r="I19" s="187"/>
      <c r="J19" s="193"/>
      <c r="K19" s="187"/>
      <c r="L19" s="308"/>
      <c r="M19" s="190"/>
      <c r="N19" s="189"/>
      <c r="O19" s="188"/>
      <c r="P19" s="191"/>
    </row>
    <row r="20" spans="1:20" x14ac:dyDescent="0.25">
      <c r="A20" s="100" t="s">
        <v>148</v>
      </c>
      <c r="B20" s="101"/>
      <c r="C20" s="104"/>
      <c r="D20" s="102" t="str">
        <f t="array" aca="1" ref="D20" ca="1">INDIRECT("STRINGA!AR"&amp;$E$3+IMPOSTAZIONI!$B$24)</f>
        <v xml:space="preserve"> </v>
      </c>
      <c r="E20" s="101"/>
      <c r="F20" s="212" t="s">
        <v>149</v>
      </c>
      <c r="G20" s="193" t="str">
        <f t="array" aca="1" ref="G20" ca="1">INDIRECT("STRINGA!AS"&amp;$E$3+IMPOSTAZIONI!$B$24)</f>
        <v xml:space="preserve"> </v>
      </c>
      <c r="H20" s="188" t="s">
        <v>150</v>
      </c>
      <c r="I20" s="188"/>
      <c r="J20" s="101"/>
      <c r="K20" s="190"/>
      <c r="L20" s="342" t="str">
        <f t="array" aca="1" ref="L20" ca="1">INDIRECT("STRINGA!AT"&amp;$E$3+IMPOSTAZIONI!$B$24)</f>
        <v>008</v>
      </c>
      <c r="M20" s="101"/>
      <c r="N20" s="101"/>
      <c r="O20" s="101"/>
      <c r="P20" s="191"/>
    </row>
    <row r="21" spans="1:20" x14ac:dyDescent="0.25">
      <c r="A21" s="100" t="s">
        <v>151</v>
      </c>
      <c r="B21" s="101"/>
      <c r="C21" s="214"/>
      <c r="D21" s="102" t="str">
        <f ca="1">LEFT(INDIRECT("STRINGA!AU"&amp;$E$3+IMPOSTAZIONI!$B$24),2)&amp;","&amp;RIGHT(INDIRECT("STRINGA!AU"&amp;$E$3+IMPOSTAZIONI!$B$24),1)</f>
        <v>40,4</v>
      </c>
      <c r="E21" s="101" t="s">
        <v>152</v>
      </c>
      <c r="F21" s="101"/>
      <c r="G21" s="214"/>
      <c r="H21" s="102" t="str">
        <f ca="1">LEFT(INDIRECT("STRINGA!AV"&amp;$E$3+IMPOSTAZIONI!$B$24),2)&amp;","&amp;RIGHT(INDIRECT("STRINGA!AV"&amp;$E$3+IMPOSTAZIONI!$B$24),1)</f>
        <v>38,4</v>
      </c>
      <c r="I21" s="306"/>
      <c r="J21" s="208"/>
      <c r="K21" s="188"/>
      <c r="L21" s="188"/>
      <c r="M21" s="188"/>
      <c r="N21" s="212" t="s">
        <v>153</v>
      </c>
      <c r="O21" s="102" t="str">
        <f ca="1">INDIRECT("STRINGA!AW"&amp;$E$3+IMPOSTAZIONI!$B$24)</f>
        <v>MO</v>
      </c>
      <c r="P21" s="191"/>
    </row>
    <row r="22" spans="1:20" x14ac:dyDescent="0.25">
      <c r="A22" s="100" t="s">
        <v>154</v>
      </c>
      <c r="B22" s="101"/>
      <c r="C22" s="188"/>
      <c r="D22" s="343" t="str">
        <f t="array" aca="1" ref="D22" ca="1">INDIRECT("STRINGA!AX"&amp;$E$3+IMPOSTAZIONI!$B$24)</f>
        <v xml:space="preserve">                                                     </v>
      </c>
      <c r="E22" s="344"/>
      <c r="F22" s="344"/>
      <c r="G22" s="344"/>
      <c r="H22" s="344"/>
      <c r="I22" s="344"/>
      <c r="J22" s="344"/>
      <c r="K22" s="344"/>
      <c r="L22" s="345"/>
      <c r="M22" s="345"/>
      <c r="N22" s="345"/>
      <c r="O22" s="345"/>
      <c r="P22" s="207"/>
    </row>
    <row r="23" spans="1:20" x14ac:dyDescent="0.25">
      <c r="A23" s="100" t="s">
        <v>155</v>
      </c>
      <c r="B23" s="190"/>
      <c r="C23" s="215"/>
      <c r="D23" s="102" t="str">
        <f t="array" aca="1" ref="D23" ca="1">INDIRECT("STRINGA!AY"&amp;$E$3+IMPOSTAZIONI!$B$24)&amp;" / "&amp;INDIRECT("STRINGA!AZ"&amp;$E$3+IMPOSTAZIONI!$B$24)&amp;" / "&amp;INDIRECT("STRINGA!BA"&amp;$E$3+IMPOSTAZIONI!$B$24)&amp;" / "&amp;INDIRECT("STRINGA!BB"&amp;$E$3+IMPOSTAZIONI!$B$24)&amp;" / "&amp;INDIRECT("STRINGA!BC"&amp;$E$3+IMPOSTAZIONI!$B$24)</f>
        <v xml:space="preserve">M /   /   /   /  </v>
      </c>
      <c r="E23" s="102"/>
      <c r="F23" s="102"/>
      <c r="G23" s="306"/>
      <c r="H23" s="309"/>
      <c r="I23" s="309"/>
      <c r="J23" s="188"/>
      <c r="K23" s="212" t="s">
        <v>156</v>
      </c>
      <c r="L23" s="234" t="str">
        <f t="array" aca="1" ref="L23" ca="1">INDIRECT("STRINGA!BD"&amp;$E$3+IMPOSTAZIONI!$B$24)&amp;" / "&amp;INDIRECT("STRINGA!BE"&amp;$E$3+IMPOSTAZIONI!$B$24)&amp;" / "&amp;INDIRECT("STRINGA!BF"&amp;$E$3+IMPOSTAZIONI!$B$24)&amp;" / "&amp;INDIRECT("STRINGA!BG"&amp;$E$3+IMPOSTAZIONI!$B$24)&amp;" / "&amp;INDIRECT("STRINGA!BH"&amp;$E$3+IMPOSTAZIONI!$B$24)</f>
        <v xml:space="preserve">MO /    /    /    /   </v>
      </c>
      <c r="M23" s="193"/>
      <c r="N23" s="216"/>
      <c r="O23" s="193"/>
      <c r="P23" s="191"/>
    </row>
    <row r="24" spans="1:20" x14ac:dyDescent="0.25">
      <c r="A24" s="192" t="s">
        <v>157</v>
      </c>
      <c r="B24" s="188"/>
      <c r="C24" s="215"/>
      <c r="D24" s="190"/>
      <c r="E24" s="208" t="s">
        <v>158</v>
      </c>
      <c r="F24" s="208" t="s">
        <v>132</v>
      </c>
      <c r="G24" s="224" t="str">
        <f t="array" aca="1" ref="G24" ca="1">INDIRECT("STRINGA!BI"&amp;$E$3+IMPOSTAZIONI!$B$24)</f>
        <v>04295</v>
      </c>
      <c r="H24" s="208"/>
      <c r="I24" s="208"/>
      <c r="J24" s="213" t="s">
        <v>134</v>
      </c>
      <c r="K24" s="102" t="str">
        <f t="array" aca="1" ref="K24" ca="1">INDIRECT("STRINGA!BJ"&amp;$E$3+IMPOSTAZIONI!$B$24)</f>
        <v>1350</v>
      </c>
      <c r="L24" s="188" t="s">
        <v>135</v>
      </c>
      <c r="M24" s="190"/>
      <c r="N24" s="193" t="str">
        <f t="array" aca="1" ref="N24" ca="1">INDIRECT("STRINGA!BK"&amp;$E$3+IMPOSTAZIONI!$B$24)</f>
        <v>1450</v>
      </c>
      <c r="O24" s="188"/>
      <c r="P24" s="191"/>
    </row>
    <row r="25" spans="1:20" x14ac:dyDescent="0.25">
      <c r="A25" s="100"/>
      <c r="B25" s="101"/>
      <c r="C25" s="101"/>
      <c r="D25" s="101"/>
      <c r="E25" s="101"/>
      <c r="F25" s="101" t="s">
        <v>133</v>
      </c>
      <c r="G25" s="446" t="str">
        <f t="array" aca="1" ref="G25" ca="1">INDIRECT("STRINGA!BL"&amp;$E$3+IMPOSTAZIONI!$B$24)</f>
        <v>1650</v>
      </c>
      <c r="H25" s="208"/>
      <c r="I25" s="208"/>
      <c r="J25" s="188" t="s">
        <v>136</v>
      </c>
      <c r="K25" s="102" t="str">
        <f ca="1">LEFT(INDIRECT("STRINGA!BM"&amp;$E$3+IMPOSTAZIONI!$B$24),1)&amp;","&amp;RIGHT(INDIRECT("STRINGA!BM"&amp;$E$3+IMPOSTAZIONI!$B$24),2)</f>
        <v>3,50</v>
      </c>
      <c r="L25" s="101"/>
      <c r="M25" s="190"/>
      <c r="N25" s="188"/>
      <c r="O25" s="190"/>
      <c r="P25" s="191"/>
    </row>
    <row r="26" spans="1:20" x14ac:dyDescent="0.25">
      <c r="A26" s="100" t="s">
        <v>159</v>
      </c>
      <c r="B26" s="190"/>
      <c r="C26" s="101"/>
      <c r="D26" s="193" t="str">
        <f ca="1">INDIRECT("STRINGA!BN"&amp;$E$3+IMPOSTAZIONI!$B$24)</f>
        <v xml:space="preserve">   </v>
      </c>
      <c r="E26" s="194"/>
      <c r="F26" s="561" t="str">
        <f ca="1">IFERROR(VLOOKUP($D$26,ELENCHI!$BC$23:$BD$25,2,FALSE),"")</f>
        <v/>
      </c>
      <c r="G26" s="561"/>
      <c r="H26" s="561"/>
      <c r="I26" s="561"/>
      <c r="J26" s="561"/>
      <c r="K26" s="561"/>
      <c r="L26" s="561"/>
      <c r="M26" s="561"/>
      <c r="N26" s="561"/>
      <c r="O26" s="561"/>
      <c r="P26" s="191"/>
    </row>
    <row r="27" spans="1:20" x14ac:dyDescent="0.25">
      <c r="A27" s="192"/>
      <c r="B27" s="190"/>
      <c r="C27" s="188"/>
      <c r="D27" s="188"/>
      <c r="E27" s="188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218"/>
    </row>
    <row r="28" spans="1:20" ht="6" customHeight="1" x14ac:dyDescent="0.25">
      <c r="A28" s="219"/>
      <c r="B28" s="190"/>
      <c r="C28" s="188"/>
      <c r="D28" s="188"/>
      <c r="E28" s="188"/>
      <c r="F28" s="188"/>
      <c r="G28" s="188"/>
      <c r="H28" s="188"/>
      <c r="I28" s="188"/>
      <c r="J28" s="217"/>
      <c r="K28" s="190"/>
      <c r="L28" s="188"/>
      <c r="M28" s="188"/>
      <c r="N28" s="188"/>
      <c r="O28" s="188"/>
      <c r="P28" s="218"/>
    </row>
    <row r="29" spans="1:20" x14ac:dyDescent="0.25">
      <c r="A29" s="192"/>
      <c r="B29" s="188"/>
      <c r="C29" s="188"/>
      <c r="D29" s="188"/>
      <c r="E29" s="188"/>
      <c r="F29" s="188"/>
      <c r="G29" s="193" t="str">
        <f t="array" aca="1" ref="G29" ca="1">INDIRECT("STRINGA!AT"&amp;$E$3+IMPOSTAZIONI!$B$24)</f>
        <v>008</v>
      </c>
      <c r="H29" s="188"/>
      <c r="I29" s="188"/>
      <c r="J29" s="188"/>
      <c r="K29" s="188"/>
      <c r="L29" s="188" t="s">
        <v>160</v>
      </c>
      <c r="M29" s="188"/>
      <c r="N29" s="187"/>
      <c r="O29" s="309"/>
      <c r="P29" s="218"/>
    </row>
    <row r="30" spans="1:20" ht="4.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2"/>
    </row>
    <row r="31" spans="1:20" ht="5.25" customHeight="1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</row>
    <row r="32" spans="1:20" x14ac:dyDescent="0.25">
      <c r="A32" s="236" t="s">
        <v>161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27"/>
      <c r="L32" s="227"/>
      <c r="M32" s="227"/>
      <c r="N32" s="227"/>
      <c r="O32" s="227"/>
      <c r="P32" s="228"/>
      <c r="Q32" s="200"/>
      <c r="R32" s="200"/>
      <c r="S32" s="200"/>
      <c r="T32" s="200"/>
    </row>
    <row r="33" spans="1:20" x14ac:dyDescent="0.25">
      <c r="A33" s="229"/>
      <c r="B33" s="188"/>
      <c r="C33" s="188"/>
      <c r="D33" s="188"/>
      <c r="E33" s="188"/>
      <c r="F33" s="226"/>
      <c r="G33" s="226"/>
      <c r="H33" s="188"/>
      <c r="I33" s="188"/>
      <c r="J33" s="188"/>
      <c r="K33" s="188"/>
      <c r="L33" s="188"/>
      <c r="M33" s="188"/>
      <c r="N33" s="188"/>
      <c r="O33" s="188"/>
      <c r="P33" s="230"/>
      <c r="Q33" s="200"/>
      <c r="R33" s="200"/>
      <c r="S33" s="200"/>
      <c r="T33" s="200"/>
    </row>
    <row r="34" spans="1:20" x14ac:dyDescent="0.25">
      <c r="A34" s="229" t="s">
        <v>162</v>
      </c>
      <c r="B34" s="188"/>
      <c r="C34" s="188"/>
      <c r="D34" s="188" t="s">
        <v>163</v>
      </c>
      <c r="E34" s="188"/>
      <c r="F34" s="102" t="str">
        <f ca="1">LEFT(INDIRECT("STRINGA!BO"&amp;$E$3+IMPOSTAZIONI!$B$24),2)&amp;","&amp;RIGHT(INDIRECT("STRINGA!BO"&amp;$E$3+IMPOSTAZIONI!$B$24),1)</f>
        <v>00,0</v>
      </c>
      <c r="G34" s="188"/>
      <c r="H34" s="188" t="s">
        <v>164</v>
      </c>
      <c r="I34" s="188"/>
      <c r="J34" s="188"/>
      <c r="K34" s="102" t="str">
        <f ca="1">LEFT(INDIRECT("STRINGA!BP"&amp;$E$3+IMPOSTAZIONI!$B$24),2)&amp;","&amp;RIGHT(INDIRECT("STRINGA!BP"&amp;$E$3+IMPOSTAZIONI!$B$24),1)</f>
        <v>00,0</v>
      </c>
      <c r="L34" s="188"/>
      <c r="M34" s="188" t="s">
        <v>165</v>
      </c>
      <c r="N34" s="188"/>
      <c r="O34" s="102" t="str">
        <f ca="1">LEFT(INDIRECT("STRINGA!BQ"&amp;$E$3+IMPOSTAZIONI!$B$24),2)&amp;","&amp;RIGHT(INDIRECT("STRINGA!BQ"&amp;$E$3+IMPOSTAZIONI!$B$24),1)</f>
        <v>00,0</v>
      </c>
      <c r="P34" s="230"/>
      <c r="Q34" s="200"/>
      <c r="R34" s="200"/>
      <c r="S34" s="200"/>
      <c r="T34" s="200"/>
    </row>
    <row r="35" spans="1:20" x14ac:dyDescent="0.25">
      <c r="A35" s="229" t="s">
        <v>166</v>
      </c>
      <c r="B35" s="188"/>
      <c r="C35" s="188"/>
      <c r="D35" s="188" t="s">
        <v>167</v>
      </c>
      <c r="E35" s="188"/>
      <c r="F35" s="102" t="str">
        <f ca="1">LEFT(INDIRECT("STRINGA!BR"&amp;$E$3+IMPOSTAZIONI!$B$24),2)&amp;","&amp;RIGHT(INDIRECT("STRINGA!BR"&amp;$E$3+IMPOSTAZIONI!$B$24),1)</f>
        <v>00,0</v>
      </c>
      <c r="G35" s="188"/>
      <c r="H35" s="188" t="s">
        <v>168</v>
      </c>
      <c r="I35" s="188"/>
      <c r="J35" s="188"/>
      <c r="K35" s="102" t="str">
        <f ca="1">LEFT(INDIRECT("STRINGA!BS"&amp;$E$3+IMPOSTAZIONI!$B$24),2)&amp;","&amp;RIGHT(INDIRECT("STRINGA!BS"&amp;$E$3+IMPOSTAZIONI!$B$24),1)</f>
        <v>00,0</v>
      </c>
      <c r="L35" s="188"/>
      <c r="M35" s="188"/>
      <c r="N35" s="188"/>
      <c r="O35" s="215"/>
      <c r="P35" s="230"/>
      <c r="Q35" s="200"/>
      <c r="R35" s="200"/>
      <c r="S35" s="200"/>
      <c r="T35" s="200"/>
    </row>
    <row r="36" spans="1:20" x14ac:dyDescent="0.25">
      <c r="A36" s="229" t="s">
        <v>169</v>
      </c>
      <c r="B36" s="188"/>
      <c r="C36" s="188"/>
      <c r="D36" s="188" t="s">
        <v>170</v>
      </c>
      <c r="E36" s="188"/>
      <c r="F36" s="102" t="str">
        <f ca="1">LEFT(INDIRECT("STRINGA!BT"&amp;$E$3+IMPOSTAZIONI!$B$24),2)&amp;","&amp;RIGHT(INDIRECT("STRINGA!BT"&amp;$E$3+IMPOSTAZIONI!$B$24),1)</f>
        <v>00,0</v>
      </c>
      <c r="G36" s="188"/>
      <c r="H36" s="188" t="s">
        <v>171</v>
      </c>
      <c r="I36" s="188"/>
      <c r="J36" s="188"/>
      <c r="K36" s="234" t="str">
        <f ca="1">LEFT(INDIRECT("STRINGA!BU"&amp;$E$3+IMPOSTAZIONI!$B$24),2)&amp;","&amp;RIGHT(INDIRECT("STRINGA!BU"&amp;$E$3+IMPOSTAZIONI!$B$24),2)</f>
        <v>00,00</v>
      </c>
      <c r="L36" s="188"/>
      <c r="M36" s="188" t="s">
        <v>172</v>
      </c>
      <c r="N36" s="188"/>
      <c r="O36" s="102" t="str">
        <f ca="1">LEFT(INDIRECT("STRINGA!BV"&amp;$E$3+IMPOSTAZIONI!$B$24),2)&amp;","&amp;RIGHT(INDIRECT("STRINGA!BV"&amp;$E$3+IMPOSTAZIONI!$B$24),2)</f>
        <v>00,00</v>
      </c>
      <c r="P36" s="230"/>
      <c r="Q36" s="200"/>
      <c r="R36" s="200"/>
      <c r="S36" s="200"/>
      <c r="T36" s="200"/>
    </row>
    <row r="37" spans="1:20" x14ac:dyDescent="0.25">
      <c r="A37" s="229"/>
      <c r="B37" s="188"/>
      <c r="C37" s="188"/>
      <c r="D37" s="188" t="s">
        <v>173</v>
      </c>
      <c r="E37" s="188"/>
      <c r="F37" s="102" t="str">
        <f ca="1">LEFT(INDIRECT("STRINGA!BW"&amp;$E$3+IMPOSTAZIONI!$B$24),2)&amp;","&amp;RIGHT(INDIRECT("STRINGA!BW"&amp;$E$3+IMPOSTAZIONI!$B$24),1)</f>
        <v>00,0</v>
      </c>
      <c r="G37" s="188"/>
      <c r="H37" s="188" t="s">
        <v>174</v>
      </c>
      <c r="I37" s="188"/>
      <c r="J37" s="188"/>
      <c r="K37" s="102" t="str">
        <f ca="1">LEFT(INDIRECT("STRINGA!BX"&amp;$E$3+IMPOSTAZIONI!$B$24),2)&amp;","&amp;RIGHT(INDIRECT("STRINGA!BX"&amp;$E$3+IMPOSTAZIONI!$B$24),1)</f>
        <v>00,0</v>
      </c>
      <c r="L37" s="188"/>
      <c r="M37" s="188"/>
      <c r="N37" s="188"/>
      <c r="O37" s="215"/>
      <c r="P37" s="230"/>
      <c r="Q37" s="200"/>
      <c r="R37" s="200"/>
      <c r="S37" s="200"/>
      <c r="T37" s="200"/>
    </row>
    <row r="38" spans="1:20" x14ac:dyDescent="0.25">
      <c r="A38" s="229" t="s">
        <v>175</v>
      </c>
      <c r="B38" s="188"/>
      <c r="C38" s="188"/>
      <c r="D38" s="188" t="s">
        <v>176</v>
      </c>
      <c r="E38" s="188"/>
      <c r="F38" s="102" t="str">
        <f ca="1">LEFT(INDIRECT("STRINGA!BY"&amp;$E$3+IMPOSTAZIONI!$B$24),2)&amp;","&amp;RIGHT(INDIRECT("STRINGA!BY"&amp;$E$3+IMPOSTAZIONI!$B$24),1)</f>
        <v>00,0</v>
      </c>
      <c r="G38" s="188"/>
      <c r="H38" s="188" t="s">
        <v>177</v>
      </c>
      <c r="I38" s="188"/>
      <c r="J38" s="188"/>
      <c r="K38" s="102" t="str">
        <f t="array" aca="1" ref="K38" ca="1">INDIRECT("STRINGA!BZ"&amp;$E$3+IMPOSTAZIONI!$B$24)</f>
        <v>00</v>
      </c>
      <c r="L38" s="188"/>
      <c r="M38" s="188"/>
      <c r="N38" s="188"/>
      <c r="O38" s="215"/>
      <c r="P38" s="230"/>
      <c r="Q38" s="200"/>
      <c r="R38" s="200"/>
      <c r="S38" s="200"/>
      <c r="T38" s="200"/>
    </row>
    <row r="39" spans="1:20" x14ac:dyDescent="0.25">
      <c r="A39" s="229" t="s">
        <v>178</v>
      </c>
      <c r="B39" s="188"/>
      <c r="C39" s="188"/>
      <c r="D39" s="188" t="s">
        <v>179</v>
      </c>
      <c r="E39" s="188"/>
      <c r="F39" s="102" t="str">
        <f ca="1">LEFT(INDIRECT("STRINGA!CA"&amp;$E$3+IMPOSTAZIONI!$B$24),2)&amp;","&amp;RIGHT(INDIRECT("STRINGA!CA"&amp;$E$3+IMPOSTAZIONI!$B$24),1)</f>
        <v>00,0</v>
      </c>
      <c r="G39" s="188"/>
      <c r="H39" s="188" t="s">
        <v>180</v>
      </c>
      <c r="I39" s="188"/>
      <c r="J39" s="188"/>
      <c r="K39" s="102" t="str">
        <f t="array" aca="1" ref="K39" ca="1">INDIRECT("STRINGA!CB"&amp;$E$3+IMPOSTAZIONI!$B$24)</f>
        <v>00000</v>
      </c>
      <c r="L39" s="188"/>
      <c r="M39" s="188"/>
      <c r="N39" s="188"/>
      <c r="O39" s="215"/>
      <c r="P39" s="230"/>
      <c r="Q39" s="200"/>
      <c r="R39" s="200"/>
      <c r="S39" s="200"/>
      <c r="T39" s="200"/>
    </row>
    <row r="40" spans="1:20" x14ac:dyDescent="0.25">
      <c r="A40" s="229" t="s">
        <v>181</v>
      </c>
      <c r="B40" s="188"/>
      <c r="C40" s="188"/>
      <c r="D40" s="188" t="s">
        <v>176</v>
      </c>
      <c r="E40" s="188"/>
      <c r="F40" s="102" t="str">
        <f ca="1">LEFT(INDIRECT("STRINGA!CC"&amp;$E$3+IMPOSTAZIONI!$B$24),2)&amp;","&amp;RIGHT(INDIRECT("STRINGA!CC"&amp;$E$3+IMPOSTAZIONI!$B$24),1)</f>
        <v>00,0</v>
      </c>
      <c r="G40" s="188"/>
      <c r="H40" s="188" t="s">
        <v>177</v>
      </c>
      <c r="I40" s="188"/>
      <c r="J40" s="188"/>
      <c r="K40" s="102" t="str">
        <f t="array" aca="1" ref="K40" ca="1">INDIRECT("STRINGA!CD"&amp;$E$3+IMPOSTAZIONI!$B$24)</f>
        <v>00</v>
      </c>
      <c r="L40" s="188"/>
      <c r="M40" s="188"/>
      <c r="N40" s="188"/>
      <c r="O40" s="215"/>
      <c r="P40" s="230"/>
      <c r="Q40" s="200"/>
      <c r="R40" s="200"/>
      <c r="S40" s="200"/>
      <c r="T40" s="200"/>
    </row>
    <row r="41" spans="1:20" x14ac:dyDescent="0.25">
      <c r="A41" s="229" t="s">
        <v>182</v>
      </c>
      <c r="B41" s="188"/>
      <c r="C41" s="188"/>
      <c r="D41" s="188" t="s">
        <v>183</v>
      </c>
      <c r="E41" s="188"/>
      <c r="F41" s="102" t="str">
        <f t="array" aca="1" ref="F41" ca="1">INDIRECT("STRINGA!CE"&amp;$E$3+IMPOSTAZIONI!$B$24)</f>
        <v>000000</v>
      </c>
      <c r="G41" s="188"/>
      <c r="H41" s="188" t="s">
        <v>184</v>
      </c>
      <c r="I41" s="188"/>
      <c r="J41" s="188"/>
      <c r="K41" s="102" t="str">
        <f t="array" aca="1" ref="K41" ca="1">INDIRECT("STRINGA!CF"&amp;$E$3+IMPOSTAZIONI!$B$24)</f>
        <v>000000</v>
      </c>
      <c r="L41" s="188"/>
      <c r="M41" s="188" t="s">
        <v>185</v>
      </c>
      <c r="N41" s="188"/>
      <c r="O41" s="102" t="str">
        <f t="array" aca="1" ref="O41" ca="1">INDIRECT("STRINGA!CG"&amp;$E$3+IMPOSTAZIONI!$B$24)</f>
        <v>000000</v>
      </c>
      <c r="P41" s="230"/>
    </row>
    <row r="42" spans="1:20" x14ac:dyDescent="0.25">
      <c r="A42" s="229" t="s">
        <v>186</v>
      </c>
      <c r="B42" s="188"/>
      <c r="C42" s="188"/>
      <c r="D42" s="188" t="s">
        <v>187</v>
      </c>
      <c r="E42" s="188"/>
      <c r="F42" s="102" t="str">
        <f ca="1">LEFT(INDIRECT("STRINGA!CH"&amp;$E$3+IMPOSTAZIONI!$B$24),2)&amp;","&amp;RIGHT(INDIRECT("STRINGA!CH"&amp;$E$3+IMPOSTAZIONI!$B$24),1)</f>
        <v>00,0</v>
      </c>
      <c r="G42" s="188"/>
      <c r="H42" s="188" t="s">
        <v>188</v>
      </c>
      <c r="I42" s="188"/>
      <c r="J42" s="188"/>
      <c r="K42" s="102" t="str">
        <f ca="1">LEFT(INDIRECT("STRINGA!CI"&amp;$E$3+IMPOSTAZIONI!$B$24),2)&amp;","&amp;RIGHT(INDIRECT("STRINGA!CI"&amp;$E$3+IMPOSTAZIONI!$B$24),1)</f>
        <v>00,0</v>
      </c>
      <c r="L42" s="188"/>
      <c r="M42" s="188" t="s">
        <v>189</v>
      </c>
      <c r="N42" s="188"/>
      <c r="O42" s="102" t="str">
        <f t="array" aca="1" ref="O42" ca="1">INDIRECT("STRINGA!CJ"&amp;$E$3+IMPOSTAZIONI!$B$24)</f>
        <v>000000</v>
      </c>
      <c r="P42" s="230"/>
    </row>
    <row r="43" spans="1:20" x14ac:dyDescent="0.25">
      <c r="A43" s="229" t="s">
        <v>190</v>
      </c>
      <c r="B43" s="188"/>
      <c r="C43" s="188"/>
      <c r="D43" s="188" t="s">
        <v>176</v>
      </c>
      <c r="E43" s="188"/>
      <c r="F43" s="102" t="str">
        <f ca="1">LEFT(INDIRECT("STRINGA!CK"&amp;$E$3+IMPOSTAZIONI!$B$24),2)&amp;","&amp;RIGHT(INDIRECT("STRINGA!CK"&amp;$E$3+IMPOSTAZIONI!$B$24),1)</f>
        <v>00,1</v>
      </c>
      <c r="G43" s="188"/>
      <c r="H43" s="188" t="s">
        <v>177</v>
      </c>
      <c r="I43" s="188"/>
      <c r="J43" s="188"/>
      <c r="K43" s="102" t="str">
        <f t="array" aca="1" ref="K43" ca="1">INDIRECT("STRINGA!CL"&amp;$E$3+IMPOSTAZIONI!$B$24)</f>
        <v>05</v>
      </c>
      <c r="L43" s="188"/>
      <c r="M43" s="188"/>
      <c r="N43" s="188"/>
      <c r="O43" s="188"/>
      <c r="P43" s="230"/>
    </row>
    <row r="44" spans="1:20" x14ac:dyDescent="0.25">
      <c r="A44" s="192" t="s">
        <v>191</v>
      </c>
      <c r="B44" s="188"/>
      <c r="C44" s="188"/>
      <c r="D44" s="188" t="s">
        <v>176</v>
      </c>
      <c r="E44" s="188"/>
      <c r="F44" s="102" t="str">
        <f ca="1">LEFT(INDIRECT("STRINGA!CM"&amp;$E$3+IMPOSTAZIONI!$B$24),2)&amp;","&amp;RIGHT(INDIRECT("STRINGA!CM"&amp;$E$3+IMPOSTAZIONI!$B$24),1)</f>
        <v>00,0</v>
      </c>
      <c r="G44" s="188"/>
      <c r="H44" s="188" t="s">
        <v>177</v>
      </c>
      <c r="I44" s="188"/>
      <c r="J44" s="188"/>
      <c r="K44" s="102" t="str">
        <f t="array" aca="1" ref="K44" ca="1">INDIRECT("STRINGA!CN"&amp;$E$3+IMPOSTAZIONI!$B$24)</f>
        <v>00</v>
      </c>
      <c r="L44" s="188"/>
      <c r="M44" s="188"/>
      <c r="N44" s="188"/>
      <c r="O44" s="188"/>
      <c r="P44" s="230"/>
    </row>
    <row r="45" spans="1:20" ht="4.5" customHeight="1" x14ac:dyDescent="0.25">
      <c r="A45" s="314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2"/>
    </row>
    <row r="46" spans="1:20" ht="6" customHeight="1" x14ac:dyDescent="0.25">
      <c r="A46" s="23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</row>
    <row r="47" spans="1:20" ht="3" customHeight="1" x14ac:dyDescent="0.2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8"/>
    </row>
    <row r="48" spans="1:20" ht="10.5" customHeight="1" x14ac:dyDescent="0.25">
      <c r="A48" s="289" t="s">
        <v>192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 t="s">
        <v>193</v>
      </c>
      <c r="L48" s="223"/>
      <c r="M48" s="223"/>
      <c r="N48" s="223"/>
      <c r="O48" s="223"/>
      <c r="P48" s="247"/>
    </row>
    <row r="49" spans="1:16" ht="5.25" customHeight="1" x14ac:dyDescent="0.25">
      <c r="A49" s="289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47"/>
    </row>
    <row r="50" spans="1:16" x14ac:dyDescent="0.25">
      <c r="A50" s="315" t="str">
        <f ca="1">MID(INDIRECT("STRINGA!CS"&amp;$E$3+IMPOSTAZIONI!$B$24),(ROW()-ROW($A$50))*LUNGH+1,LUNGH)</f>
        <v xml:space="preserve">PER MASSE, MASSE RIMORCHIABILI, PNEUMATICI, GANCI DI </v>
      </c>
      <c r="B50" s="316"/>
      <c r="C50" s="316"/>
      <c r="D50" s="316"/>
      <c r="E50" s="316"/>
      <c r="F50" s="316"/>
      <c r="G50" s="317"/>
      <c r="H50" s="318"/>
      <c r="I50" s="316" t="str">
        <f ca="1">MID(INDIRECT("STRINGA!CT"&amp;$E$3+IMPOSTAZIONI!$B$24),(ROW()-ROW($J$50))*LUNGH+1,LUNGH)</f>
        <v xml:space="preserve">                                                     </v>
      </c>
      <c r="J50" s="319"/>
      <c r="K50" s="320"/>
      <c r="L50" s="320"/>
      <c r="M50" s="320"/>
      <c r="N50" s="320"/>
      <c r="O50" s="320"/>
      <c r="P50" s="325"/>
    </row>
    <row r="51" spans="1:16" x14ac:dyDescent="0.25">
      <c r="A51" s="315" t="str">
        <f ca="1">MID(INDIRECT("STRINGA!CS"&amp;$E$3+IMPOSTAZIONI!$B$24),(ROW()-ROW($A$50))*LUNGH+1,LUNGH)</f>
        <v xml:space="preserve">TRAINO, CARICHI VERTICALI, CARATTERISTICHE TECNICHE, </v>
      </c>
      <c r="B51" s="316"/>
      <c r="C51" s="316"/>
      <c r="D51" s="316"/>
      <c r="E51" s="316"/>
      <c r="F51" s="316"/>
      <c r="G51" s="317"/>
      <c r="H51" s="318"/>
      <c r="I51" s="316" t="str">
        <f ca="1">MID(INDIRECT("STRINGA!CT"&amp;$E$3+IMPOSTAZIONI!$B$24),(ROW()-ROW($J$50))*LUNGH+1,LUNGH)</f>
        <v xml:space="preserve">                                                     </v>
      </c>
      <c r="J51" s="319"/>
      <c r="K51" s="320"/>
      <c r="L51" s="320"/>
      <c r="M51" s="320"/>
      <c r="N51" s="320"/>
      <c r="O51" s="320"/>
      <c r="P51" s="247"/>
    </row>
    <row r="52" spans="1:16" x14ac:dyDescent="0.25">
      <c r="A52" s="315" t="str">
        <f ca="1">MID(INDIRECT("STRINGA!CS"&amp;$E$3+IMPOSTAZIONI!$B$24),(ROW()-ROW($A$50))*LUNGH+1,LUNGH)</f>
        <v>ATTREZZATURE PORTATE E SEMIPORTATE, ALLESTIMENTI VARI</v>
      </c>
      <c r="B52" s="316"/>
      <c r="C52" s="316"/>
      <c r="D52" s="316"/>
      <c r="E52" s="316"/>
      <c r="F52" s="316"/>
      <c r="G52" s="317"/>
      <c r="H52" s="318"/>
      <c r="I52" s="316" t="str">
        <f ca="1">MID(INDIRECT("STRINGA!CT"&amp;$E$3+IMPOSTAZIONI!$B$24),(ROW()-ROW($J$50))*LUNGH+1,LUNGH)</f>
        <v xml:space="preserve">                                                     </v>
      </c>
      <c r="J52" s="319"/>
      <c r="K52" s="320"/>
      <c r="L52" s="320"/>
      <c r="M52" s="320"/>
      <c r="N52" s="320"/>
      <c r="O52" s="320"/>
      <c r="P52" s="247"/>
    </row>
    <row r="53" spans="1:16" x14ac:dyDescent="0.25">
      <c r="A53" s="315" t="str">
        <f ca="1">MID(INDIRECT("STRINGA!CS"&amp;$E$3+IMPOSTAZIONI!$B$24),(ROW()-ROW($A$50))*LUNGH+1,LUNGH)</f>
        <v xml:space="preserve">, PRESCRIZIONI,  SI VEDA L'ALLEGATO TECNICO PARTE IN </v>
      </c>
      <c r="B53" s="316"/>
      <c r="C53" s="316"/>
      <c r="D53" s="316"/>
      <c r="E53" s="316"/>
      <c r="F53" s="316"/>
      <c r="G53" s="317"/>
      <c r="H53" s="318"/>
      <c r="I53" s="316" t="str">
        <f ca="1">MID(INDIRECT("STRINGA!CT"&amp;$E$3+IMPOSTAZIONI!$B$24),(ROW()-ROW($J$50))*LUNGH+1,LUNGH)</f>
        <v xml:space="preserve">                                                     </v>
      </c>
      <c r="J53" s="319"/>
      <c r="K53" s="320"/>
      <c r="L53" s="320"/>
      <c r="M53" s="320"/>
      <c r="N53" s="320"/>
      <c r="O53" s="320"/>
      <c r="P53" s="247"/>
    </row>
    <row r="54" spans="1:16" x14ac:dyDescent="0.25">
      <c r="A54" s="315" t="str">
        <f ca="1">MID(INDIRECT("STRINGA!CS"&amp;$E$3+IMPOSTAZIONI!$B$24),(ROW()-ROW($A$50))*LUNGH+1,LUNGH)</f>
        <v xml:space="preserve">TEGRANTE DELLA CARTA DI CIRCOLAZIONE.                </v>
      </c>
      <c r="B54" s="316"/>
      <c r="C54" s="316"/>
      <c r="D54" s="316"/>
      <c r="E54" s="316"/>
      <c r="F54" s="316"/>
      <c r="G54" s="317"/>
      <c r="H54" s="318"/>
      <c r="I54" s="316" t="str">
        <f ca="1">MID(INDIRECT("STRINGA!CT"&amp;$E$3+IMPOSTAZIONI!$B$24),(ROW()-ROW($J$50))*LUNGH+1,LUNGH)</f>
        <v xml:space="preserve">                                                     </v>
      </c>
      <c r="J54" s="319"/>
      <c r="K54" s="320"/>
      <c r="L54" s="320"/>
      <c r="M54" s="320"/>
      <c r="N54" s="320"/>
      <c r="O54" s="320"/>
      <c r="P54" s="247"/>
    </row>
    <row r="55" spans="1:16" x14ac:dyDescent="0.25">
      <c r="A55" s="315" t="str">
        <f ca="1">MID(INDIRECT("STRINGA!CS"&amp;$E$3+IMPOSTAZIONI!$B$24),(ROW()-ROW($A$50))*LUNGH+1,LUNGH)</f>
        <v xml:space="preserve">                                                     </v>
      </c>
      <c r="B55" s="316"/>
      <c r="C55" s="316"/>
      <c r="D55" s="316"/>
      <c r="E55" s="316"/>
      <c r="F55" s="316"/>
      <c r="G55" s="317"/>
      <c r="H55" s="318"/>
      <c r="I55" s="316" t="str">
        <f ca="1">MID(INDIRECT("STRINGA!CT"&amp;$E$3+IMPOSTAZIONI!$B$24),(ROW()-ROW($J$50))*LUNGH+1,LUNGH)</f>
        <v xml:space="preserve">                                                     </v>
      </c>
      <c r="J55" s="319"/>
      <c r="K55" s="320"/>
      <c r="L55" s="320"/>
      <c r="M55" s="320"/>
      <c r="N55" s="320"/>
      <c r="O55" s="320"/>
      <c r="P55" s="247"/>
    </row>
    <row r="56" spans="1:16" x14ac:dyDescent="0.25">
      <c r="A56" s="315" t="str">
        <f ca="1">MID(INDIRECT("STRINGA!CS"&amp;$E$3+IMPOSTAZIONI!$B$24),(ROW()-ROW($A$50))*LUNGH+1,LUNGH)</f>
        <v xml:space="preserve">                                                     </v>
      </c>
      <c r="B56" s="316"/>
      <c r="C56" s="316"/>
      <c r="D56" s="316"/>
      <c r="E56" s="316"/>
      <c r="F56" s="316"/>
      <c r="G56" s="317"/>
      <c r="H56" s="318"/>
      <c r="I56" s="316" t="str">
        <f ca="1">MID(INDIRECT("STRINGA!CT"&amp;$E$3+IMPOSTAZIONI!$B$24),(ROW()-ROW($J$50))*LUNGH+1,LUNGH)</f>
        <v xml:space="preserve">                                                     </v>
      </c>
      <c r="J56" s="319"/>
      <c r="K56" s="320"/>
      <c r="L56" s="320"/>
      <c r="M56" s="320"/>
      <c r="N56" s="320"/>
      <c r="O56" s="320"/>
      <c r="P56" s="247"/>
    </row>
    <row r="57" spans="1:16" x14ac:dyDescent="0.25">
      <c r="A57" s="315" t="str">
        <f ca="1">MID(INDIRECT("STRINGA!CS"&amp;$E$3+IMPOSTAZIONI!$B$24),(ROW()-ROW($A$50))*LUNGH+1,LUNGH)</f>
        <v xml:space="preserve">                                                     </v>
      </c>
      <c r="B57" s="316"/>
      <c r="C57" s="316"/>
      <c r="D57" s="316"/>
      <c r="E57" s="316"/>
      <c r="F57" s="316"/>
      <c r="G57" s="317"/>
      <c r="H57" s="318"/>
      <c r="I57" s="316" t="str">
        <f ca="1">MID(INDIRECT("STRINGA!CT"&amp;$E$3+IMPOSTAZIONI!$B$24),(ROW()-ROW($J$50))*LUNGH+1,LUNGH)</f>
        <v/>
      </c>
      <c r="J57" s="319"/>
      <c r="K57" s="320"/>
      <c r="L57" s="320"/>
      <c r="M57" s="320"/>
      <c r="N57" s="320"/>
      <c r="O57" s="320"/>
      <c r="P57" s="247"/>
    </row>
    <row r="58" spans="1:16" x14ac:dyDescent="0.25">
      <c r="A58" s="290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2"/>
    </row>
    <row r="59" spans="1:16" ht="6.75" customHeight="1" x14ac:dyDescent="0.25">
      <c r="A59" s="305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</row>
    <row r="60" spans="1:16" ht="15" x14ac:dyDescent="0.25">
      <c r="A60" s="279"/>
      <c r="B60" s="280"/>
      <c r="C60" s="280"/>
      <c r="D60" s="280"/>
      <c r="E60" s="280"/>
      <c r="F60" s="281" t="s">
        <v>194</v>
      </c>
      <c r="G60" s="282"/>
      <c r="H60" s="282"/>
      <c r="I60" s="282"/>
      <c r="J60" s="280"/>
      <c r="K60" s="280"/>
      <c r="L60" s="280"/>
      <c r="M60" s="280"/>
      <c r="N60" s="280"/>
      <c r="O60" s="280"/>
      <c r="P60" s="283"/>
    </row>
    <row r="61" spans="1:16" ht="3.75" customHeight="1" x14ac:dyDescent="0.25">
      <c r="A61" s="293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84"/>
    </row>
    <row r="62" spans="1:16" ht="11.25" customHeight="1" x14ac:dyDescent="0.25">
      <c r="A62" s="321" t="str">
        <f ca="1">MID(INDIRECT("STRINGA!CU"&amp;$E$3+IMPOSTAZIONI!$B$24),(ROW()-ROW($A$62))*LUNGH+1,LUNGH)</f>
        <v xml:space="preserve">PER MASSE, MASSE RIMORCHIABILI, PNEUMATICI, GANCI DI </v>
      </c>
      <c r="B62" s="322"/>
      <c r="C62" s="322"/>
      <c r="D62" s="322"/>
      <c r="E62" s="322"/>
      <c r="F62" s="322"/>
      <c r="G62" s="322"/>
      <c r="H62" s="323"/>
      <c r="I62" s="316" t="str">
        <f ca="1">MID(INDIRECT("STRINGA!CV"&amp;$E$3+IMPOSTAZIONI!$B$24),(ROW()-ROW($A$62))*LUNGH+1,LUNGH)</f>
        <v xml:space="preserve">                                                     </v>
      </c>
      <c r="K62" s="319"/>
      <c r="L62" s="320"/>
      <c r="M62" s="320"/>
      <c r="N62" s="320"/>
      <c r="O62" s="320"/>
      <c r="P62" s="284"/>
    </row>
    <row r="63" spans="1:16" ht="11.25" customHeight="1" x14ac:dyDescent="0.25">
      <c r="A63" s="321" t="str">
        <f ca="1">MID(INDIRECT("STRINGA!CU"&amp;$E$3+IMPOSTAZIONI!$B$24),(ROW()-ROW($A$62))*LUNGH+1,LUNGH)</f>
        <v xml:space="preserve">TRAINO, CARICHI VERTICALI, CARATTERISTICHE TECNICHE, </v>
      </c>
      <c r="B63" s="322"/>
      <c r="C63" s="322"/>
      <c r="D63" s="322"/>
      <c r="E63" s="322"/>
      <c r="F63" s="322"/>
      <c r="G63" s="322"/>
      <c r="H63" s="324"/>
      <c r="I63" s="316" t="str">
        <f ca="1">MID(INDIRECT("STRINGA!CV"&amp;$E$3+IMPOSTAZIONI!$B$24),(ROW()-ROW($A$62))*LUNGH+1,LUNGH)</f>
        <v xml:space="preserve">                                                     </v>
      </c>
      <c r="K63" s="319"/>
      <c r="L63" s="320"/>
      <c r="M63" s="320"/>
      <c r="N63" s="320"/>
      <c r="O63" s="320"/>
      <c r="P63" s="284"/>
    </row>
    <row r="64" spans="1:16" ht="11.25" customHeight="1" x14ac:dyDescent="0.25">
      <c r="A64" s="321" t="str">
        <f ca="1">MID(INDIRECT("STRINGA!CU"&amp;$E$3+IMPOSTAZIONI!$B$24),(ROW()-ROW($A$62))*LUNGH+1,LUNGH)</f>
        <v>ATTREZZATURE PORTATE E SEMIPORTATE, ALLESTIMENTI VARI</v>
      </c>
      <c r="B64" s="322"/>
      <c r="C64" s="322"/>
      <c r="D64" s="322"/>
      <c r="E64" s="322"/>
      <c r="F64" s="322"/>
      <c r="G64" s="322"/>
      <c r="H64" s="324"/>
      <c r="I64" s="316" t="str">
        <f ca="1">MID(INDIRECT("STRINGA!CV"&amp;$E$3+IMPOSTAZIONI!$B$24),(ROW()-ROW($A$62))*LUNGH+1,LUNGH)</f>
        <v xml:space="preserve">                                                     </v>
      </c>
      <c r="K64" s="319"/>
      <c r="L64" s="320"/>
      <c r="M64" s="320"/>
      <c r="N64" s="320"/>
      <c r="O64" s="320"/>
      <c r="P64" s="284"/>
    </row>
    <row r="65" spans="1:16" ht="11.25" customHeight="1" x14ac:dyDescent="0.25">
      <c r="A65" s="321" t="str">
        <f ca="1">MID(INDIRECT("STRINGA!CU"&amp;$E$3+IMPOSTAZIONI!$B$24),(ROW()-ROW($A$62))*LUNGH+1,LUNGH)</f>
        <v xml:space="preserve">, PRESCRIZIONI,  SI VEDA L'ALLEGATO TECNICO PARTE IN </v>
      </c>
      <c r="B65" s="322"/>
      <c r="C65" s="322"/>
      <c r="D65" s="322"/>
      <c r="E65" s="322"/>
      <c r="F65" s="322"/>
      <c r="G65" s="322"/>
      <c r="H65" s="324"/>
      <c r="I65" s="316" t="str">
        <f ca="1">MID(INDIRECT("STRINGA!CV"&amp;$E$3+IMPOSTAZIONI!$B$24),(ROW()-ROW($A$62))*LUNGH+1,LUNGH)</f>
        <v xml:space="preserve">                                                     </v>
      </c>
      <c r="K65" s="319"/>
      <c r="L65" s="320"/>
      <c r="M65" s="320"/>
      <c r="N65" s="320"/>
      <c r="O65" s="320"/>
      <c r="P65" s="284"/>
    </row>
    <row r="66" spans="1:16" ht="11.25" customHeight="1" x14ac:dyDescent="0.25">
      <c r="A66" s="321" t="str">
        <f ca="1">MID(INDIRECT("STRINGA!CU"&amp;$E$3+IMPOSTAZIONI!$B$24),(ROW()-ROW($A$62))*LUNGH+1,LUNGH)</f>
        <v xml:space="preserve">TEGRANTE DELLA CARTA DI CIRCOLAZIONE.                </v>
      </c>
      <c r="B66" s="322"/>
      <c r="C66" s="322"/>
      <c r="D66" s="322"/>
      <c r="E66" s="322"/>
      <c r="F66" s="322"/>
      <c r="G66" s="322"/>
      <c r="H66" s="324"/>
      <c r="I66" s="316" t="str">
        <f ca="1">MID(INDIRECT("STRINGA!CV"&amp;$E$3+IMPOSTAZIONI!$B$24),(ROW()-ROW($A$62))*LUNGH+1,LUNGH)</f>
        <v xml:space="preserve">                                                     </v>
      </c>
      <c r="K66" s="319"/>
      <c r="L66" s="320"/>
      <c r="M66" s="320"/>
      <c r="N66" s="320"/>
      <c r="O66" s="320"/>
      <c r="P66" s="284"/>
    </row>
    <row r="67" spans="1:16" ht="11.25" customHeight="1" x14ac:dyDescent="0.25">
      <c r="A67" s="321" t="str">
        <f ca="1">MID(INDIRECT("STRINGA!CU"&amp;$E$3+IMPOSTAZIONI!$B$24),(ROW()-ROW($A$62))*LUNGH+1,LUNGH)</f>
        <v xml:space="preserve">                                                     </v>
      </c>
      <c r="B67" s="322"/>
      <c r="C67" s="322"/>
      <c r="D67" s="322"/>
      <c r="E67" s="322"/>
      <c r="F67" s="322"/>
      <c r="G67" s="322"/>
      <c r="H67" s="324"/>
      <c r="I67" s="316" t="str">
        <f ca="1">MID(INDIRECT("STRINGA!CV"&amp;$E$3+IMPOSTAZIONI!$B$24),(ROW()-ROW($A$62))*LUNGH+1,LUNGH)</f>
        <v xml:space="preserve">                                                     </v>
      </c>
      <c r="K67" s="319"/>
      <c r="L67" s="320"/>
      <c r="M67" s="320"/>
      <c r="N67" s="320"/>
      <c r="O67" s="320"/>
      <c r="P67" s="284"/>
    </row>
    <row r="68" spans="1:16" ht="11.25" customHeight="1" x14ac:dyDescent="0.25">
      <c r="A68" s="321" t="str">
        <f ca="1">MID(INDIRECT("STRINGA!CU"&amp;$E$3+IMPOSTAZIONI!$B$24),(ROW()-ROW($A$62))*LUNGH+1,LUNGH)</f>
        <v xml:space="preserve">                                                     </v>
      </c>
      <c r="B68" s="322"/>
      <c r="C68" s="322"/>
      <c r="D68" s="322"/>
      <c r="E68" s="322"/>
      <c r="F68" s="322"/>
      <c r="G68" s="322"/>
      <c r="H68" s="324"/>
      <c r="I68" s="316" t="str">
        <f ca="1">MID(INDIRECT("STRINGA!CV"&amp;$E$3+IMPOSTAZIONI!$B$24),(ROW()-ROW($A$62))*LUNGH+1,LUNGH)</f>
        <v xml:space="preserve">                                                     </v>
      </c>
      <c r="K68" s="319"/>
      <c r="L68" s="320"/>
      <c r="M68" s="320"/>
      <c r="N68" s="320"/>
      <c r="O68" s="320"/>
      <c r="P68" s="284"/>
    </row>
    <row r="69" spans="1:16" ht="11.25" customHeight="1" x14ac:dyDescent="0.25">
      <c r="A69" s="321" t="str">
        <f ca="1">MID(INDIRECT("STRINGA!CU"&amp;$E$3+IMPOSTAZIONI!$B$24),(ROW()-ROW($A$62))*LUNGH+1,LUNGH)</f>
        <v xml:space="preserve">                                                     </v>
      </c>
      <c r="B69" s="322"/>
      <c r="C69" s="322"/>
      <c r="D69" s="322"/>
      <c r="E69" s="322"/>
      <c r="F69" s="322"/>
      <c r="G69" s="322"/>
      <c r="H69" s="324"/>
      <c r="I69" s="316" t="str">
        <f ca="1">MID(INDIRECT("STRINGA!CV"&amp;$E$3+IMPOSTAZIONI!$B$24),(ROW()-ROW($A$62))*LUNGH+1,LUNGH)</f>
        <v xml:space="preserve">                                                     </v>
      </c>
      <c r="K69" s="319"/>
      <c r="L69" s="320"/>
      <c r="M69" s="320"/>
      <c r="N69" s="320"/>
      <c r="O69" s="320"/>
      <c r="P69" s="284"/>
    </row>
    <row r="70" spans="1:16" ht="11.25" customHeight="1" x14ac:dyDescent="0.25">
      <c r="A70" s="321" t="str">
        <f ca="1">MID(INDIRECT("STRINGA!CU"&amp;$E$3+IMPOSTAZIONI!$B$24),(ROW()-ROW($A$62))*LUNGH+1,LUNGH)</f>
        <v xml:space="preserve">                                                     </v>
      </c>
      <c r="B70" s="322"/>
      <c r="C70" s="322"/>
      <c r="D70" s="322"/>
      <c r="E70" s="322"/>
      <c r="F70" s="322"/>
      <c r="G70" s="322"/>
      <c r="H70" s="324"/>
      <c r="I70" s="316" t="str">
        <f ca="1">MID(INDIRECT("STRINGA!CV"&amp;$E$3+IMPOSTAZIONI!$B$24),(ROW()-ROW($A$62))*LUNGH+1,LUNGH)</f>
        <v xml:space="preserve">                                                     </v>
      </c>
      <c r="K70" s="319"/>
      <c r="L70" s="320"/>
      <c r="M70" s="320"/>
      <c r="N70" s="320"/>
      <c r="O70" s="320"/>
      <c r="P70" s="284"/>
    </row>
    <row r="71" spans="1:16" ht="11.25" customHeight="1" x14ac:dyDescent="0.25">
      <c r="A71" s="321" t="str">
        <f ca="1">MID(INDIRECT("STRINGA!CU"&amp;$E$3+IMPOSTAZIONI!$B$24),(ROW()-ROW($A$62))*LUNGH+1,LUNGH)</f>
        <v xml:space="preserve">                                                     </v>
      </c>
      <c r="B71" s="322"/>
      <c r="C71" s="322"/>
      <c r="D71" s="322"/>
      <c r="E71" s="322"/>
      <c r="F71" s="322"/>
      <c r="G71" s="322"/>
      <c r="H71" s="324"/>
      <c r="I71" s="316" t="str">
        <f ca="1">MID(INDIRECT("STRINGA!CV"&amp;$E$3+IMPOSTAZIONI!$B$24),(ROW()-ROW($A$62))*LUNGH+1,LUNGH)</f>
        <v xml:space="preserve">                                                     </v>
      </c>
      <c r="K71" s="319"/>
      <c r="L71" s="320"/>
      <c r="M71" s="320"/>
      <c r="N71" s="320"/>
      <c r="O71" s="320"/>
      <c r="P71" s="284"/>
    </row>
    <row r="72" spans="1:16" ht="11.25" customHeight="1" x14ac:dyDescent="0.25">
      <c r="A72" s="321" t="str">
        <f ca="1">MID(INDIRECT("STRINGA!CU"&amp;$E$3+IMPOSTAZIONI!$B$24),(ROW()-ROW($A$62))*LUNGH+1,LUNGH)</f>
        <v xml:space="preserve">                                                     </v>
      </c>
      <c r="B72" s="322"/>
      <c r="C72" s="322"/>
      <c r="D72" s="322"/>
      <c r="E72" s="322"/>
      <c r="F72" s="322"/>
      <c r="G72" s="322"/>
      <c r="H72" s="324"/>
      <c r="I72" s="316" t="str">
        <f ca="1">MID(INDIRECT("STRINGA!CV"&amp;$E$3+IMPOSTAZIONI!$B$24),(ROW()-ROW($A$62))*LUNGH+1,LUNGH)</f>
        <v xml:space="preserve">                                                     </v>
      </c>
      <c r="K72" s="319"/>
      <c r="L72" s="320"/>
      <c r="M72" s="320"/>
      <c r="N72" s="320"/>
      <c r="O72" s="320"/>
      <c r="P72" s="284"/>
    </row>
    <row r="73" spans="1:16" ht="11.25" customHeight="1" x14ac:dyDescent="0.25">
      <c r="A73" s="321" t="str">
        <f ca="1">MID(INDIRECT("STRINGA!CU"&amp;$E$3+IMPOSTAZIONI!$B$24),(ROW()-ROW($A$62))*LUNGH+1,LUNGH)</f>
        <v/>
      </c>
      <c r="B73" s="322"/>
      <c r="C73" s="322"/>
      <c r="D73" s="322"/>
      <c r="E73" s="322"/>
      <c r="F73" s="322"/>
      <c r="G73" s="322"/>
      <c r="H73" s="324"/>
      <c r="I73" s="316" t="str">
        <f ca="1">MID(INDIRECT("STRINGA!CV"&amp;$E$3+IMPOSTAZIONI!$B$24),(ROW()-ROW($A$62))*LUNGH+1,LUNGH)</f>
        <v/>
      </c>
      <c r="K73" s="319"/>
      <c r="L73" s="320"/>
      <c r="M73" s="320"/>
      <c r="N73" s="320"/>
      <c r="O73" s="320"/>
      <c r="P73" s="284"/>
    </row>
    <row r="74" spans="1:16" ht="10.5" customHeight="1" x14ac:dyDescent="0.25">
      <c r="A74" s="310" t="str">
        <f ca="1">MID(INDIRECT("STRINGA!CU"&amp;$E$3+IMPOSTAZIONI!$B$24),(ROW()-ROW($A$62))*LUNGH+1,LUNGH)</f>
        <v/>
      </c>
      <c r="B74" s="311"/>
      <c r="C74" s="311"/>
      <c r="D74" s="311"/>
      <c r="E74" s="311"/>
      <c r="F74" s="311"/>
      <c r="G74" s="311"/>
      <c r="H74" s="285"/>
      <c r="I74" s="285"/>
      <c r="J74" s="312" t="str">
        <f ca="1">MID(INDIRECT("STRINGA!CV"&amp;$E$3+IMPOSTAZIONI!$B$24),(ROW()-ROW($A$62))*LUNGH+1,LUNGH)</f>
        <v/>
      </c>
      <c r="K74" s="285"/>
      <c r="L74" s="285"/>
      <c r="M74" s="285"/>
      <c r="N74" s="285"/>
      <c r="O74" s="285"/>
      <c r="P74" s="313"/>
    </row>
  </sheetData>
  <sheetProtection password="F972" sheet="1" objects="1" scenarios="1" selectLockedCells="1"/>
  <mergeCells count="11">
    <mergeCell ref="A2:D2"/>
    <mergeCell ref="A4:D4"/>
    <mergeCell ref="A3:D3"/>
    <mergeCell ref="E2:G2"/>
    <mergeCell ref="F26:O27"/>
    <mergeCell ref="I13:J13"/>
    <mergeCell ref="H9:K9"/>
    <mergeCell ref="E3:G3"/>
    <mergeCell ref="E4:G4"/>
    <mergeCell ref="I1:M4"/>
    <mergeCell ref="N4:P4"/>
  </mergeCells>
  <conditionalFormatting sqref="A62:A74 J74 I62:I73">
    <cfRule type="containsText" dxfId="0" priority="1" operator="containsText" text="!">
      <formula>NOT(ISERROR(SEARCH("!",A62)))</formula>
    </cfRule>
  </conditionalFormatting>
  <pageMargins left="0.33333333333333331" right="0.25" top="0.35326086956521741" bottom="0.18115942028985507" header="0.16304347826086957" footer="0.3"/>
  <pageSetup paperSize="9" orientation="portrait" r:id="rId1"/>
  <headerFooter>
    <oddHeader xml:space="preserve">&amp;C&amp;8ANTEPRIMA&amp;R&amp;9&amp;T  &amp;D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57" yWindow="304" count="1">
        <x14:dataValidation type="list" allowBlank="1" showInputMessage="1" showErrorMessage="1" errorTitle="Avviso" error="Hai selezionato un inserimento non esistente, scegli dalla lista" promptTitle="Suggerimento:" prompt="Scegli da elenco">
          <x14:formula1>
            <xm:f>IMPOSTAZIONI!$B$38:$B$48</xm:f>
          </x14:formula1>
          <xm:sqref>E2:G2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6"/>
    <outlinePr summaryBelow="0"/>
  </sheetPr>
  <dimension ref="A1:XFD662"/>
  <sheetViews>
    <sheetView topLeftCell="W1" zoomScale="85" zoomScaleNormal="85" workbookViewId="0">
      <pane ySplit="2" topLeftCell="A76" activePane="bottomLeft" state="frozen"/>
      <selection pane="bottomLeft" activeCell="AD79" sqref="AD79"/>
    </sheetView>
  </sheetViews>
  <sheetFormatPr defaultRowHeight="15" outlineLevelRow="1" outlineLevelCol="1" x14ac:dyDescent="0.25"/>
  <cols>
    <col min="1" max="1" width="1.28515625" style="107" customWidth="1"/>
    <col min="2" max="2" width="7.7109375" style="107" customWidth="1"/>
    <col min="3" max="3" width="15.7109375" style="107" customWidth="1"/>
    <col min="4" max="4" width="20" style="107" customWidth="1"/>
    <col min="5" max="5" width="1.7109375" style="107" customWidth="1"/>
    <col min="6" max="6" width="9.140625" style="107"/>
    <col min="7" max="7" width="20.7109375" style="107" customWidth="1"/>
    <col min="8" max="8" width="21.42578125" style="107" customWidth="1"/>
    <col min="9" max="10" width="24.28515625" style="107" customWidth="1"/>
    <col min="11" max="11" width="1.7109375" style="107" customWidth="1"/>
    <col min="12" max="12" width="6.42578125" style="107" customWidth="1"/>
    <col min="13" max="13" width="54.140625" style="107" customWidth="1"/>
    <col min="14" max="14" width="30.140625" style="107" customWidth="1"/>
    <col min="15" max="15" width="59.42578125" style="107" customWidth="1"/>
    <col min="16" max="16" width="1.28515625" style="107" customWidth="1"/>
    <col min="17" max="17" width="12" style="107" customWidth="1"/>
    <col min="18" max="18" width="16" style="107" customWidth="1"/>
    <col min="19" max="19" width="18.85546875" style="107" customWidth="1"/>
    <col min="20" max="20" width="1.7109375" style="107" customWidth="1"/>
    <col min="21" max="21" width="9.140625" style="107"/>
    <col min="22" max="22" width="21.42578125" style="107" customWidth="1"/>
    <col min="23" max="23" width="21.7109375" style="107" customWidth="1"/>
    <col min="24" max="24" width="1.7109375" style="107" customWidth="1"/>
    <col min="25" max="25" width="11.42578125" style="107" customWidth="1"/>
    <col min="26" max="26" width="20" style="107" customWidth="1"/>
    <col min="27" max="27" width="22.42578125" style="107" customWidth="1"/>
    <col min="28" max="28" width="1.42578125" style="107" customWidth="1"/>
    <col min="29" max="31" width="11.42578125" style="107" customWidth="1"/>
    <col min="32" max="32" width="20.42578125" style="107" customWidth="1"/>
    <col min="33" max="33" width="1.7109375" style="107" customWidth="1"/>
    <col min="34" max="35" width="14.140625" style="107" customWidth="1"/>
    <col min="36" max="36" width="18.85546875" style="107" customWidth="1"/>
    <col min="37" max="37" width="1.42578125" style="107" customWidth="1"/>
    <col min="38" max="38" width="10.7109375" style="107" bestFit="1" customWidth="1"/>
    <col min="39" max="39" width="11.28515625" style="107" bestFit="1" customWidth="1"/>
    <col min="40" max="40" width="19.7109375" style="107" customWidth="1"/>
    <col min="41" max="41" width="1.42578125" style="107" customWidth="1"/>
    <col min="42" max="42" width="9.140625" style="107"/>
    <col min="43" max="43" width="2" style="107" customWidth="1"/>
    <col min="44" max="44" width="8" style="107" customWidth="1"/>
    <col min="45" max="45" width="31.140625" style="107" customWidth="1"/>
    <col min="46" max="46" width="1.5703125" style="175" customWidth="1"/>
    <col min="47" max="47" width="7.85546875" style="107" customWidth="1"/>
    <col min="48" max="48" width="17.5703125" style="107" customWidth="1"/>
    <col min="49" max="49" width="18.85546875" style="107" customWidth="1"/>
    <col min="50" max="50" width="2" style="107" customWidth="1"/>
    <col min="51" max="52" width="15" style="107" customWidth="1"/>
    <col min="53" max="53" width="20.85546875" style="107" customWidth="1"/>
    <col min="54" max="54" width="2" style="107" customWidth="1"/>
    <col min="55" max="56" width="15" style="107" customWidth="1"/>
    <col min="57" max="57" width="18.85546875" style="107" customWidth="1"/>
    <col min="58" max="58" width="2" style="107" customWidth="1"/>
    <col min="59" max="59" width="19.5703125" style="107" bestFit="1" customWidth="1"/>
    <col min="60" max="60" width="49.42578125" style="107" bestFit="1" customWidth="1"/>
    <col min="61" max="61" width="50" style="107" hidden="1" customWidth="1" outlineLevel="1"/>
    <col min="62" max="62" width="2.140625" style="107" hidden="1" customWidth="1" outlineLevel="1"/>
    <col min="63" max="63" width="13.28515625" style="107" hidden="1" customWidth="1" outlineLevel="1"/>
    <col min="64" max="64" width="12.42578125" style="107" hidden="1" customWidth="1" outlineLevel="1"/>
    <col min="65" max="72" width="13.28515625" style="107" hidden="1" customWidth="1" outlineLevel="1"/>
    <col min="73" max="73" width="2.140625" style="107" hidden="1" customWidth="1" outlineLevel="1"/>
    <col min="74" max="75" width="24.5703125" style="107" hidden="1" customWidth="1" outlineLevel="1"/>
    <col min="76" max="79" width="13.28515625" style="107" hidden="1" customWidth="1" outlineLevel="1"/>
    <col min="80" max="80" width="60.7109375" style="107" hidden="1" customWidth="1" outlineLevel="1"/>
    <col min="81" max="81" width="57.85546875" style="111" customWidth="1" collapsed="1"/>
    <col min="82" max="82" width="81.28515625" style="111" customWidth="1"/>
    <col min="83" max="83" width="7.42578125" style="107" customWidth="1"/>
    <col min="84" max="16347" width="9.140625" style="107"/>
    <col min="16348" max="16348" width="9.140625" style="107" bestFit="1"/>
    <col min="16349" max="16369" width="9.140625" style="107"/>
    <col min="16370" max="16384" width="9.140625" style="107" bestFit="1" customWidth="1"/>
  </cols>
  <sheetData>
    <row r="1" spans="1:16384" ht="31.5" customHeight="1" x14ac:dyDescent="0.25">
      <c r="A1" s="403"/>
      <c r="B1" s="527" t="str">
        <f>VERSIONE</f>
        <v>v1.5</v>
      </c>
      <c r="C1" s="580" t="str">
        <f>AUTORE</f>
        <v>Centro Prova Autoveicoli di Milano con sezione di Brescia</v>
      </c>
      <c r="D1" s="580"/>
      <c r="E1" s="580"/>
      <c r="F1" s="580"/>
      <c r="G1" s="580"/>
      <c r="H1" s="580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</row>
    <row r="2" spans="1:16384" s="142" customFormat="1" ht="31.5" customHeight="1" thickBot="1" x14ac:dyDescent="0.3">
      <c r="A2" s="405"/>
      <c r="B2" s="327" t="s">
        <v>195</v>
      </c>
      <c r="C2" s="138"/>
      <c r="D2" s="138"/>
      <c r="E2" s="138"/>
      <c r="F2" s="139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1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7"/>
      <c r="MA2" s="107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7"/>
      <c r="NA2" s="107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7"/>
      <c r="OA2" s="107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7"/>
      <c r="PA2" s="107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7"/>
      <c r="QA2" s="107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7"/>
      <c r="RA2" s="107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7"/>
      <c r="SA2" s="107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7"/>
      <c r="TA2" s="107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7"/>
      <c r="UA2" s="107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7"/>
      <c r="VA2" s="107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7"/>
      <c r="WA2" s="107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7"/>
      <c r="XA2" s="107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7"/>
      <c r="YA2" s="107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7"/>
      <c r="ZA2" s="107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7"/>
      <c r="AAA2" s="107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7"/>
      <c r="ABA2" s="107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7"/>
      <c r="ACA2" s="107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7"/>
      <c r="ADA2" s="107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7"/>
      <c r="AEA2" s="107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7"/>
      <c r="AFA2" s="107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7"/>
      <c r="AGA2" s="107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7"/>
      <c r="AHA2" s="107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7"/>
      <c r="AIA2" s="107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7"/>
      <c r="AJA2" s="107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7"/>
      <c r="AKA2" s="107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7"/>
      <c r="ALA2" s="107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7"/>
      <c r="AMA2" s="107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7"/>
      <c r="ANA2" s="107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7"/>
      <c r="AOA2" s="107"/>
      <c r="AOB2" s="107"/>
      <c r="AOC2" s="107"/>
      <c r="AOD2" s="107"/>
      <c r="AOE2" s="107"/>
      <c r="AOF2" s="107"/>
      <c r="AOG2" s="107"/>
      <c r="AOH2" s="107"/>
      <c r="AOI2" s="107"/>
      <c r="AOJ2" s="107"/>
      <c r="AOK2" s="107"/>
      <c r="AOL2" s="107"/>
      <c r="AOM2" s="107"/>
      <c r="AON2" s="107"/>
      <c r="AOO2" s="107"/>
      <c r="AOP2" s="107"/>
      <c r="AOQ2" s="107"/>
      <c r="AOR2" s="107"/>
      <c r="AOS2" s="107"/>
      <c r="AOT2" s="107"/>
      <c r="AOU2" s="107"/>
      <c r="AOV2" s="107"/>
      <c r="AOW2" s="107"/>
      <c r="AOX2" s="107"/>
      <c r="AOY2" s="107"/>
      <c r="AOZ2" s="107"/>
      <c r="APA2" s="107"/>
      <c r="APB2" s="107"/>
      <c r="APC2" s="107"/>
      <c r="APD2" s="107"/>
      <c r="APE2" s="107"/>
      <c r="APF2" s="107"/>
      <c r="APG2" s="107"/>
      <c r="APH2" s="107"/>
      <c r="API2" s="107"/>
      <c r="APJ2" s="107"/>
      <c r="APK2" s="107"/>
      <c r="APL2" s="107"/>
      <c r="APM2" s="107"/>
      <c r="APN2" s="107"/>
      <c r="APO2" s="107"/>
      <c r="APP2" s="107"/>
      <c r="APQ2" s="107"/>
      <c r="APR2" s="107"/>
      <c r="APS2" s="107"/>
      <c r="APT2" s="107"/>
      <c r="APU2" s="107"/>
      <c r="APV2" s="107"/>
      <c r="APW2" s="107"/>
      <c r="APX2" s="107"/>
      <c r="APY2" s="107"/>
      <c r="APZ2" s="107"/>
      <c r="AQA2" s="107"/>
      <c r="AQB2" s="107"/>
      <c r="AQC2" s="107"/>
      <c r="AQD2" s="107"/>
      <c r="AQE2" s="107"/>
      <c r="AQF2" s="107"/>
      <c r="AQG2" s="107"/>
      <c r="AQH2" s="107"/>
      <c r="AQI2" s="107"/>
      <c r="AQJ2" s="107"/>
      <c r="AQK2" s="107"/>
      <c r="AQL2" s="107"/>
      <c r="AQM2" s="107"/>
      <c r="AQN2" s="107"/>
      <c r="AQO2" s="107"/>
      <c r="AQP2" s="107"/>
      <c r="AQQ2" s="107"/>
      <c r="AQR2" s="107"/>
      <c r="AQS2" s="107"/>
      <c r="AQT2" s="107"/>
      <c r="AQU2" s="107"/>
      <c r="AQV2" s="107"/>
      <c r="AQW2" s="107"/>
      <c r="AQX2" s="107"/>
      <c r="AQY2" s="107"/>
      <c r="AQZ2" s="107"/>
      <c r="ARA2" s="107"/>
      <c r="ARB2" s="107"/>
      <c r="ARC2" s="107"/>
      <c r="ARD2" s="107"/>
      <c r="ARE2" s="107"/>
      <c r="ARF2" s="107"/>
      <c r="ARG2" s="107"/>
      <c r="ARH2" s="107"/>
      <c r="ARI2" s="107"/>
      <c r="ARJ2" s="107"/>
      <c r="ARK2" s="107"/>
      <c r="ARL2" s="107"/>
      <c r="ARM2" s="107"/>
      <c r="ARN2" s="107"/>
      <c r="ARO2" s="107"/>
      <c r="ARP2" s="107"/>
      <c r="ARQ2" s="107"/>
      <c r="ARR2" s="107"/>
      <c r="ARS2" s="107"/>
      <c r="ART2" s="107"/>
      <c r="ARU2" s="107"/>
      <c r="ARV2" s="107"/>
      <c r="ARW2" s="107"/>
      <c r="ARX2" s="107"/>
      <c r="ARY2" s="107"/>
      <c r="ARZ2" s="107"/>
      <c r="ASA2" s="107"/>
      <c r="ASB2" s="107"/>
      <c r="ASC2" s="107"/>
      <c r="ASD2" s="107"/>
      <c r="ASE2" s="107"/>
      <c r="ASF2" s="107"/>
      <c r="ASG2" s="107"/>
      <c r="ASH2" s="107"/>
      <c r="ASI2" s="107"/>
      <c r="ASJ2" s="107"/>
      <c r="ASK2" s="107"/>
      <c r="ASL2" s="107"/>
      <c r="ASM2" s="107"/>
      <c r="ASN2" s="107"/>
      <c r="ASO2" s="107"/>
      <c r="ASP2" s="107"/>
      <c r="ASQ2" s="107"/>
      <c r="ASR2" s="107"/>
      <c r="ASS2" s="107"/>
      <c r="AST2" s="107"/>
      <c r="ASU2" s="107"/>
      <c r="ASV2" s="107"/>
      <c r="ASW2" s="107"/>
      <c r="ASX2" s="107"/>
      <c r="ASY2" s="107"/>
      <c r="ASZ2" s="107"/>
      <c r="ATA2" s="107"/>
      <c r="ATB2" s="107"/>
      <c r="ATC2" s="107"/>
      <c r="ATD2" s="107"/>
      <c r="ATE2" s="107"/>
      <c r="ATF2" s="107"/>
      <c r="ATG2" s="107"/>
      <c r="ATH2" s="107"/>
      <c r="ATI2" s="107"/>
      <c r="ATJ2" s="107"/>
      <c r="ATK2" s="107"/>
      <c r="ATL2" s="107"/>
      <c r="ATM2" s="107"/>
      <c r="ATN2" s="107"/>
      <c r="ATO2" s="107"/>
      <c r="ATP2" s="107"/>
      <c r="ATQ2" s="107"/>
      <c r="ATR2" s="107"/>
      <c r="ATS2" s="107"/>
      <c r="ATT2" s="107"/>
      <c r="ATU2" s="107"/>
      <c r="ATV2" s="107"/>
      <c r="ATW2" s="107"/>
      <c r="ATX2" s="107"/>
      <c r="ATY2" s="107"/>
      <c r="ATZ2" s="107"/>
      <c r="AUA2" s="107"/>
      <c r="AUB2" s="107"/>
      <c r="AUC2" s="107"/>
      <c r="AUD2" s="107"/>
      <c r="AUE2" s="107"/>
      <c r="AUF2" s="107"/>
      <c r="AUG2" s="107"/>
      <c r="AUH2" s="107"/>
      <c r="AUI2" s="107"/>
      <c r="AUJ2" s="107"/>
      <c r="AUK2" s="107"/>
      <c r="AUL2" s="107"/>
      <c r="AUM2" s="107"/>
      <c r="AUN2" s="107"/>
      <c r="AUO2" s="107"/>
      <c r="AUP2" s="107"/>
      <c r="AUQ2" s="107"/>
      <c r="AUR2" s="107"/>
      <c r="AUS2" s="107"/>
      <c r="AUT2" s="107"/>
      <c r="AUU2" s="107"/>
      <c r="AUV2" s="107"/>
      <c r="AUW2" s="107"/>
      <c r="AUX2" s="107"/>
      <c r="AUY2" s="107"/>
      <c r="AUZ2" s="107"/>
      <c r="AVA2" s="107"/>
      <c r="AVB2" s="107"/>
      <c r="AVC2" s="107"/>
      <c r="AVD2" s="107"/>
      <c r="AVE2" s="107"/>
      <c r="AVF2" s="107"/>
      <c r="AVG2" s="107"/>
      <c r="AVH2" s="107"/>
      <c r="AVI2" s="107"/>
      <c r="AVJ2" s="107"/>
      <c r="AVK2" s="107"/>
      <c r="AVL2" s="107"/>
      <c r="AVM2" s="107"/>
      <c r="AVN2" s="107"/>
      <c r="AVO2" s="107"/>
      <c r="AVP2" s="107"/>
      <c r="AVQ2" s="107"/>
      <c r="AVR2" s="107"/>
      <c r="AVS2" s="107"/>
      <c r="AVT2" s="107"/>
      <c r="AVU2" s="107"/>
      <c r="AVV2" s="107"/>
      <c r="AVW2" s="107"/>
      <c r="AVX2" s="107"/>
      <c r="AVY2" s="107"/>
      <c r="AVZ2" s="107"/>
      <c r="AWA2" s="107"/>
      <c r="AWB2" s="107"/>
      <c r="AWC2" s="107"/>
      <c r="AWD2" s="107"/>
      <c r="AWE2" s="107"/>
      <c r="AWF2" s="107"/>
      <c r="AWG2" s="107"/>
      <c r="AWH2" s="107"/>
      <c r="AWI2" s="107"/>
      <c r="AWJ2" s="107"/>
      <c r="AWK2" s="107"/>
      <c r="AWL2" s="107"/>
      <c r="AWM2" s="107"/>
      <c r="AWN2" s="107"/>
      <c r="AWO2" s="107"/>
      <c r="AWP2" s="107"/>
      <c r="AWQ2" s="107"/>
      <c r="AWR2" s="107"/>
      <c r="AWS2" s="107"/>
      <c r="AWT2" s="107"/>
      <c r="AWU2" s="107"/>
      <c r="AWV2" s="107"/>
      <c r="AWW2" s="107"/>
      <c r="AWX2" s="107"/>
      <c r="AWY2" s="107"/>
      <c r="AWZ2" s="107"/>
      <c r="AXA2" s="107"/>
      <c r="AXB2" s="107"/>
      <c r="AXC2" s="107"/>
      <c r="AXD2" s="107"/>
      <c r="AXE2" s="107"/>
      <c r="AXF2" s="107"/>
      <c r="AXG2" s="107"/>
      <c r="AXH2" s="107"/>
      <c r="AXI2" s="107"/>
      <c r="AXJ2" s="107"/>
      <c r="AXK2" s="107"/>
      <c r="AXL2" s="107"/>
      <c r="AXM2" s="107"/>
      <c r="AXN2" s="107"/>
      <c r="AXO2" s="107"/>
      <c r="AXP2" s="107"/>
      <c r="AXQ2" s="107"/>
      <c r="AXR2" s="107"/>
      <c r="AXS2" s="107"/>
      <c r="AXT2" s="107"/>
      <c r="AXU2" s="107"/>
      <c r="AXV2" s="107"/>
      <c r="AXW2" s="107"/>
      <c r="AXX2" s="107"/>
      <c r="AXY2" s="107"/>
      <c r="AXZ2" s="107"/>
      <c r="AYA2" s="107"/>
      <c r="AYB2" s="107"/>
      <c r="AYC2" s="107"/>
      <c r="AYD2" s="107"/>
      <c r="AYE2" s="107"/>
      <c r="AYF2" s="107"/>
      <c r="AYG2" s="107"/>
      <c r="AYH2" s="107"/>
      <c r="AYI2" s="107"/>
      <c r="AYJ2" s="107"/>
      <c r="AYK2" s="107"/>
      <c r="AYL2" s="107"/>
      <c r="AYM2" s="107"/>
      <c r="AYN2" s="107"/>
      <c r="AYO2" s="107"/>
      <c r="AYP2" s="107"/>
      <c r="AYQ2" s="107"/>
      <c r="AYR2" s="107"/>
      <c r="AYS2" s="107"/>
      <c r="AYT2" s="107"/>
      <c r="AYU2" s="107"/>
      <c r="AYV2" s="107"/>
      <c r="AYW2" s="107"/>
      <c r="AYX2" s="107"/>
      <c r="AYY2" s="107"/>
      <c r="AYZ2" s="107"/>
      <c r="AZA2" s="107"/>
      <c r="AZB2" s="107"/>
      <c r="AZC2" s="107"/>
      <c r="AZD2" s="107"/>
      <c r="AZE2" s="107"/>
      <c r="AZF2" s="107"/>
      <c r="AZG2" s="107"/>
      <c r="AZH2" s="107"/>
      <c r="AZI2" s="107"/>
      <c r="AZJ2" s="107"/>
      <c r="AZK2" s="107"/>
      <c r="AZL2" s="107"/>
      <c r="AZM2" s="107"/>
      <c r="AZN2" s="107"/>
      <c r="AZO2" s="107"/>
      <c r="AZP2" s="107"/>
      <c r="AZQ2" s="107"/>
      <c r="AZR2" s="107"/>
      <c r="AZS2" s="107"/>
      <c r="AZT2" s="107"/>
      <c r="AZU2" s="107"/>
      <c r="AZV2" s="107"/>
      <c r="AZW2" s="107"/>
      <c r="AZX2" s="107"/>
      <c r="AZY2" s="107"/>
      <c r="AZZ2" s="107"/>
      <c r="BAA2" s="107"/>
      <c r="BAB2" s="107"/>
      <c r="BAC2" s="107"/>
      <c r="BAD2" s="107"/>
      <c r="BAE2" s="107"/>
      <c r="BAF2" s="107"/>
      <c r="BAG2" s="107"/>
      <c r="BAH2" s="107"/>
      <c r="BAI2" s="107"/>
      <c r="BAJ2" s="107"/>
      <c r="BAK2" s="107"/>
      <c r="BAL2" s="107"/>
      <c r="BAM2" s="107"/>
      <c r="BAN2" s="107"/>
      <c r="BAO2" s="107"/>
      <c r="BAP2" s="107"/>
      <c r="BAQ2" s="107"/>
      <c r="BAR2" s="107"/>
      <c r="BAS2" s="107"/>
      <c r="BAT2" s="107"/>
      <c r="BAU2" s="107"/>
      <c r="BAV2" s="107"/>
      <c r="BAW2" s="107"/>
      <c r="BAX2" s="107"/>
      <c r="BAY2" s="107"/>
      <c r="BAZ2" s="107"/>
      <c r="BBA2" s="107"/>
      <c r="BBB2" s="107"/>
      <c r="BBC2" s="107"/>
      <c r="BBD2" s="107"/>
      <c r="BBE2" s="107"/>
      <c r="BBF2" s="107"/>
      <c r="BBG2" s="107"/>
      <c r="BBH2" s="107"/>
      <c r="BBI2" s="107"/>
      <c r="BBJ2" s="107"/>
      <c r="BBK2" s="107"/>
      <c r="BBL2" s="107"/>
      <c r="BBM2" s="107"/>
      <c r="BBN2" s="107"/>
      <c r="BBO2" s="107"/>
      <c r="BBP2" s="107"/>
      <c r="BBQ2" s="107"/>
      <c r="BBR2" s="107"/>
      <c r="BBS2" s="107"/>
      <c r="BBT2" s="107"/>
      <c r="BBU2" s="107"/>
      <c r="BBV2" s="107"/>
      <c r="BBW2" s="107"/>
      <c r="BBX2" s="107"/>
      <c r="BBY2" s="107"/>
      <c r="BBZ2" s="107"/>
      <c r="BCA2" s="107"/>
      <c r="BCB2" s="107"/>
      <c r="BCC2" s="107"/>
      <c r="BCD2" s="107"/>
      <c r="BCE2" s="107"/>
      <c r="BCF2" s="107"/>
      <c r="BCG2" s="107"/>
      <c r="BCH2" s="107"/>
      <c r="BCI2" s="107"/>
      <c r="BCJ2" s="107"/>
      <c r="BCK2" s="107"/>
      <c r="BCL2" s="107"/>
      <c r="BCM2" s="107"/>
      <c r="BCN2" s="107"/>
      <c r="BCO2" s="107"/>
      <c r="BCP2" s="107"/>
      <c r="BCQ2" s="107"/>
      <c r="BCR2" s="107"/>
      <c r="BCS2" s="107"/>
      <c r="BCT2" s="107"/>
      <c r="BCU2" s="107"/>
      <c r="BCV2" s="107"/>
      <c r="BCW2" s="107"/>
      <c r="BCX2" s="107"/>
      <c r="BCY2" s="107"/>
      <c r="BCZ2" s="107"/>
      <c r="BDA2" s="107"/>
      <c r="BDB2" s="107"/>
      <c r="BDC2" s="107"/>
      <c r="BDD2" s="107"/>
      <c r="BDE2" s="107"/>
      <c r="BDF2" s="107"/>
      <c r="BDG2" s="107"/>
      <c r="BDH2" s="107"/>
      <c r="BDI2" s="107"/>
      <c r="BDJ2" s="107"/>
      <c r="BDK2" s="107"/>
      <c r="BDL2" s="107"/>
      <c r="BDM2" s="107"/>
      <c r="BDN2" s="107"/>
      <c r="BDO2" s="107"/>
      <c r="BDP2" s="107"/>
      <c r="BDQ2" s="107"/>
      <c r="BDR2" s="107"/>
      <c r="BDS2" s="107"/>
      <c r="BDT2" s="107"/>
      <c r="BDU2" s="107"/>
      <c r="BDV2" s="107"/>
      <c r="BDW2" s="107"/>
      <c r="BDX2" s="107"/>
      <c r="BDY2" s="107"/>
      <c r="BDZ2" s="107"/>
      <c r="BEA2" s="107"/>
      <c r="BEB2" s="107"/>
      <c r="BEC2" s="107"/>
      <c r="BED2" s="107"/>
      <c r="BEE2" s="107"/>
      <c r="BEF2" s="107"/>
      <c r="BEG2" s="107"/>
      <c r="BEH2" s="107"/>
      <c r="BEI2" s="107"/>
      <c r="BEJ2" s="107"/>
      <c r="BEK2" s="107"/>
      <c r="BEL2" s="107"/>
      <c r="BEM2" s="107"/>
      <c r="BEN2" s="107"/>
      <c r="BEO2" s="107"/>
      <c r="BEP2" s="107"/>
      <c r="BEQ2" s="107"/>
      <c r="BER2" s="107"/>
      <c r="BES2" s="107"/>
      <c r="BET2" s="107"/>
      <c r="BEU2" s="107"/>
      <c r="BEV2" s="107"/>
      <c r="BEW2" s="107"/>
      <c r="BEX2" s="107"/>
      <c r="BEY2" s="107"/>
      <c r="BEZ2" s="107"/>
      <c r="BFA2" s="107"/>
      <c r="BFB2" s="107"/>
      <c r="BFC2" s="107"/>
      <c r="BFD2" s="107"/>
      <c r="BFE2" s="107"/>
      <c r="BFF2" s="107"/>
      <c r="BFG2" s="107"/>
      <c r="BFH2" s="107"/>
      <c r="BFI2" s="107"/>
      <c r="BFJ2" s="107"/>
      <c r="BFK2" s="107"/>
      <c r="BFL2" s="107"/>
      <c r="BFM2" s="107"/>
      <c r="BFN2" s="107"/>
      <c r="BFO2" s="107"/>
      <c r="BFP2" s="107"/>
      <c r="BFQ2" s="107"/>
      <c r="BFR2" s="107"/>
      <c r="BFS2" s="107"/>
      <c r="BFT2" s="107"/>
      <c r="BFU2" s="107"/>
      <c r="BFV2" s="107"/>
      <c r="BFW2" s="107"/>
      <c r="BFX2" s="107"/>
      <c r="BFY2" s="107"/>
      <c r="BFZ2" s="107"/>
      <c r="BGA2" s="107"/>
      <c r="BGB2" s="107"/>
      <c r="BGC2" s="107"/>
      <c r="BGD2" s="107"/>
      <c r="BGE2" s="107"/>
      <c r="BGF2" s="107"/>
      <c r="BGG2" s="107"/>
      <c r="BGH2" s="107"/>
      <c r="BGI2" s="107"/>
      <c r="BGJ2" s="107"/>
      <c r="BGK2" s="107"/>
      <c r="BGL2" s="107"/>
      <c r="BGM2" s="107"/>
      <c r="BGN2" s="107"/>
      <c r="BGO2" s="107"/>
      <c r="BGP2" s="107"/>
      <c r="BGQ2" s="107"/>
      <c r="BGR2" s="107"/>
      <c r="BGS2" s="107"/>
      <c r="BGT2" s="107"/>
      <c r="BGU2" s="107"/>
      <c r="BGV2" s="107"/>
      <c r="BGW2" s="107"/>
      <c r="BGX2" s="107"/>
      <c r="BGY2" s="107"/>
      <c r="BGZ2" s="107"/>
      <c r="BHA2" s="107"/>
      <c r="BHB2" s="107"/>
      <c r="BHC2" s="107"/>
      <c r="BHD2" s="107"/>
      <c r="BHE2" s="107"/>
      <c r="BHF2" s="107"/>
      <c r="BHG2" s="107"/>
      <c r="BHH2" s="107"/>
      <c r="BHI2" s="107"/>
      <c r="BHJ2" s="107"/>
      <c r="BHK2" s="107"/>
      <c r="BHL2" s="107"/>
      <c r="BHM2" s="107"/>
      <c r="BHN2" s="107"/>
      <c r="BHO2" s="107"/>
      <c r="BHP2" s="107"/>
      <c r="BHQ2" s="107"/>
      <c r="BHR2" s="107"/>
      <c r="BHS2" s="107"/>
      <c r="BHT2" s="107"/>
      <c r="BHU2" s="107"/>
      <c r="BHV2" s="107"/>
      <c r="BHW2" s="107"/>
      <c r="BHX2" s="107"/>
      <c r="BHY2" s="107"/>
      <c r="BHZ2" s="107"/>
      <c r="BIA2" s="107"/>
      <c r="BIB2" s="107"/>
      <c r="BIC2" s="107"/>
      <c r="BID2" s="107"/>
      <c r="BIE2" s="107"/>
      <c r="BIF2" s="107"/>
      <c r="BIG2" s="107"/>
      <c r="BIH2" s="107"/>
      <c r="BII2" s="107"/>
      <c r="BIJ2" s="107"/>
      <c r="BIK2" s="107"/>
      <c r="BIL2" s="107"/>
      <c r="BIM2" s="107"/>
      <c r="BIN2" s="107"/>
      <c r="BIO2" s="107"/>
      <c r="BIP2" s="107"/>
      <c r="BIQ2" s="107"/>
      <c r="BIR2" s="107"/>
      <c r="BIS2" s="107"/>
      <c r="BIT2" s="107"/>
      <c r="BIU2" s="107"/>
      <c r="BIV2" s="107"/>
      <c r="BIW2" s="107"/>
      <c r="BIX2" s="107"/>
      <c r="BIY2" s="107"/>
      <c r="BIZ2" s="107"/>
      <c r="BJA2" s="107"/>
      <c r="BJB2" s="107"/>
      <c r="BJC2" s="107"/>
      <c r="BJD2" s="107"/>
      <c r="BJE2" s="107"/>
      <c r="BJF2" s="107"/>
      <c r="BJG2" s="107"/>
      <c r="BJH2" s="107"/>
      <c r="BJI2" s="107"/>
      <c r="BJJ2" s="107"/>
      <c r="BJK2" s="107"/>
      <c r="BJL2" s="107"/>
      <c r="BJM2" s="107"/>
      <c r="BJN2" s="107"/>
      <c r="BJO2" s="107"/>
      <c r="BJP2" s="107"/>
      <c r="BJQ2" s="107"/>
      <c r="BJR2" s="107"/>
      <c r="BJS2" s="107"/>
      <c r="BJT2" s="107"/>
      <c r="BJU2" s="107"/>
      <c r="BJV2" s="107"/>
      <c r="BJW2" s="107"/>
      <c r="BJX2" s="107"/>
      <c r="BJY2" s="107"/>
      <c r="BJZ2" s="107"/>
      <c r="BKA2" s="107"/>
      <c r="BKB2" s="107"/>
      <c r="BKC2" s="107"/>
      <c r="BKD2" s="107"/>
      <c r="BKE2" s="107"/>
      <c r="BKF2" s="107"/>
      <c r="BKG2" s="107"/>
      <c r="BKH2" s="107"/>
      <c r="BKI2" s="107"/>
      <c r="BKJ2" s="107"/>
      <c r="BKK2" s="107"/>
      <c r="BKL2" s="107"/>
      <c r="BKM2" s="107"/>
      <c r="BKN2" s="107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7"/>
      <c r="BLA2" s="107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7"/>
      <c r="BMA2" s="107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7"/>
      <c r="BNA2" s="107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7"/>
      <c r="BOA2" s="107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7"/>
      <c r="BPA2" s="107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7"/>
      <c r="BQA2" s="107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107"/>
      <c r="BQY2" s="107"/>
      <c r="BQZ2" s="107"/>
      <c r="BRA2" s="107"/>
      <c r="BRB2" s="107"/>
      <c r="BRC2" s="107"/>
      <c r="BRD2" s="107"/>
      <c r="BRE2" s="107"/>
      <c r="BRF2" s="107"/>
      <c r="BRG2" s="107"/>
      <c r="BRH2" s="107"/>
      <c r="BRI2" s="107"/>
      <c r="BRJ2" s="107"/>
      <c r="BRK2" s="107"/>
      <c r="BRL2" s="107"/>
      <c r="BRM2" s="107"/>
      <c r="BRN2" s="107"/>
      <c r="BRO2" s="107"/>
      <c r="BRP2" s="107"/>
      <c r="BRQ2" s="107"/>
      <c r="BRR2" s="107"/>
      <c r="BRS2" s="107"/>
      <c r="BRT2" s="107"/>
      <c r="BRU2" s="107"/>
      <c r="BRV2" s="107"/>
      <c r="BRW2" s="107"/>
      <c r="BRX2" s="107"/>
      <c r="BRY2" s="107"/>
      <c r="BRZ2" s="107"/>
      <c r="BSA2" s="107"/>
      <c r="BSB2" s="107"/>
      <c r="BSC2" s="107"/>
      <c r="BSD2" s="107"/>
      <c r="BSE2" s="107"/>
      <c r="BSF2" s="107"/>
      <c r="BSG2" s="107"/>
      <c r="BSH2" s="107"/>
      <c r="BSI2" s="107"/>
      <c r="BSJ2" s="107"/>
      <c r="BSK2" s="107"/>
      <c r="BSL2" s="107"/>
      <c r="BSM2" s="107"/>
      <c r="BSN2" s="107"/>
      <c r="BSO2" s="107"/>
      <c r="BSP2" s="107"/>
      <c r="BSQ2" s="107"/>
      <c r="BSR2" s="107"/>
      <c r="BSS2" s="107"/>
      <c r="BST2" s="107"/>
      <c r="BSU2" s="107"/>
      <c r="BSV2" s="107"/>
      <c r="BSW2" s="107"/>
      <c r="BSX2" s="107"/>
      <c r="BSY2" s="107"/>
      <c r="BSZ2" s="107"/>
      <c r="BTA2" s="107"/>
      <c r="BTB2" s="107"/>
      <c r="BTC2" s="107"/>
      <c r="BTD2" s="107"/>
      <c r="BTE2" s="107"/>
      <c r="BTF2" s="107"/>
      <c r="BTG2" s="107"/>
      <c r="BTH2" s="107"/>
      <c r="BTI2" s="107"/>
      <c r="BTJ2" s="107"/>
      <c r="BTK2" s="107"/>
      <c r="BTL2" s="107"/>
      <c r="BTM2" s="107"/>
      <c r="BTN2" s="107"/>
      <c r="BTO2" s="107"/>
      <c r="BTP2" s="107"/>
      <c r="BTQ2" s="107"/>
      <c r="BTR2" s="107"/>
      <c r="BTS2" s="107"/>
      <c r="BTT2" s="107"/>
      <c r="BTU2" s="107"/>
      <c r="BTV2" s="107"/>
      <c r="BTW2" s="107"/>
      <c r="BTX2" s="107"/>
      <c r="BTY2" s="107"/>
      <c r="BTZ2" s="107"/>
      <c r="BUA2" s="107"/>
      <c r="BUB2" s="107"/>
      <c r="BUC2" s="107"/>
      <c r="BUD2" s="107"/>
      <c r="BUE2" s="107"/>
      <c r="BUF2" s="107"/>
      <c r="BUG2" s="107"/>
      <c r="BUH2" s="107"/>
      <c r="BUI2" s="107"/>
      <c r="BUJ2" s="107"/>
      <c r="BUK2" s="107"/>
      <c r="BUL2" s="107"/>
      <c r="BUM2" s="107"/>
      <c r="BUN2" s="107"/>
      <c r="BUO2" s="107"/>
      <c r="BUP2" s="107"/>
      <c r="BUQ2" s="107"/>
      <c r="BUR2" s="107"/>
      <c r="BUS2" s="107"/>
      <c r="BUT2" s="107"/>
      <c r="BUU2" s="107"/>
      <c r="BUV2" s="107"/>
      <c r="BUW2" s="107"/>
      <c r="BUX2" s="107"/>
      <c r="BUY2" s="107"/>
      <c r="BUZ2" s="107"/>
      <c r="BVA2" s="107"/>
      <c r="BVB2" s="107"/>
      <c r="BVC2" s="107"/>
      <c r="BVD2" s="107"/>
      <c r="BVE2" s="107"/>
      <c r="BVF2" s="107"/>
      <c r="BVG2" s="107"/>
      <c r="BVH2" s="107"/>
      <c r="BVI2" s="107"/>
      <c r="BVJ2" s="107"/>
      <c r="BVK2" s="107"/>
      <c r="BVL2" s="107"/>
      <c r="BVM2" s="107"/>
      <c r="BVN2" s="107"/>
      <c r="BVO2" s="107"/>
      <c r="BVP2" s="107"/>
      <c r="BVQ2" s="107"/>
      <c r="BVR2" s="107"/>
      <c r="BVS2" s="107"/>
      <c r="BVT2" s="107"/>
      <c r="BVU2" s="107"/>
      <c r="BVV2" s="107"/>
      <c r="BVW2" s="107"/>
      <c r="BVX2" s="107"/>
      <c r="BVY2" s="107"/>
      <c r="BVZ2" s="107"/>
      <c r="BWA2" s="107"/>
      <c r="BWB2" s="107"/>
      <c r="BWC2" s="107"/>
      <c r="BWD2" s="107"/>
      <c r="BWE2" s="107"/>
      <c r="BWF2" s="107"/>
      <c r="BWG2" s="107"/>
      <c r="BWH2" s="107"/>
      <c r="BWI2" s="107"/>
      <c r="BWJ2" s="107"/>
      <c r="BWK2" s="107"/>
      <c r="BWL2" s="107"/>
      <c r="BWM2" s="107"/>
      <c r="BWN2" s="107"/>
      <c r="BWO2" s="107"/>
      <c r="BWP2" s="107"/>
      <c r="BWQ2" s="107"/>
      <c r="BWR2" s="107"/>
      <c r="BWS2" s="107"/>
      <c r="BWT2" s="107"/>
      <c r="BWU2" s="107"/>
      <c r="BWV2" s="107"/>
      <c r="BWW2" s="107"/>
      <c r="BWX2" s="107"/>
      <c r="BWY2" s="107"/>
      <c r="BWZ2" s="107"/>
      <c r="BXA2" s="107"/>
      <c r="BXB2" s="107"/>
      <c r="BXC2" s="107"/>
      <c r="BXD2" s="107"/>
      <c r="BXE2" s="107"/>
      <c r="BXF2" s="107"/>
      <c r="BXG2" s="107"/>
      <c r="BXH2" s="107"/>
      <c r="BXI2" s="107"/>
      <c r="BXJ2" s="107"/>
      <c r="BXK2" s="107"/>
      <c r="BXL2" s="107"/>
      <c r="BXM2" s="107"/>
      <c r="BXN2" s="107"/>
      <c r="BXO2" s="107"/>
      <c r="BXP2" s="107"/>
      <c r="BXQ2" s="107"/>
      <c r="BXR2" s="107"/>
      <c r="BXS2" s="107"/>
      <c r="BXT2" s="107"/>
      <c r="BXU2" s="107"/>
      <c r="BXV2" s="107"/>
      <c r="BXW2" s="107"/>
      <c r="BXX2" s="107"/>
      <c r="BXY2" s="107"/>
      <c r="BXZ2" s="107"/>
      <c r="BYA2" s="107"/>
      <c r="BYB2" s="107"/>
      <c r="BYC2" s="107"/>
      <c r="BYD2" s="107"/>
      <c r="BYE2" s="107"/>
      <c r="BYF2" s="107"/>
      <c r="BYG2" s="107"/>
      <c r="BYH2" s="107"/>
      <c r="BYI2" s="107"/>
      <c r="BYJ2" s="107"/>
      <c r="BYK2" s="107"/>
      <c r="BYL2" s="107"/>
      <c r="BYM2" s="107"/>
      <c r="BYN2" s="107"/>
      <c r="BYO2" s="107"/>
      <c r="BYP2" s="107"/>
      <c r="BYQ2" s="107"/>
      <c r="BYR2" s="107"/>
      <c r="BYS2" s="107"/>
      <c r="BYT2" s="107"/>
      <c r="BYU2" s="107"/>
      <c r="BYV2" s="107"/>
      <c r="BYW2" s="107"/>
      <c r="BYX2" s="107"/>
      <c r="BYY2" s="107"/>
      <c r="BYZ2" s="107"/>
      <c r="BZA2" s="107"/>
      <c r="BZB2" s="107"/>
      <c r="BZC2" s="107"/>
      <c r="BZD2" s="107"/>
      <c r="BZE2" s="107"/>
      <c r="BZF2" s="107"/>
      <c r="BZG2" s="107"/>
      <c r="BZH2" s="107"/>
      <c r="BZI2" s="107"/>
      <c r="BZJ2" s="107"/>
      <c r="BZK2" s="107"/>
      <c r="BZL2" s="107"/>
      <c r="BZM2" s="107"/>
      <c r="BZN2" s="107"/>
      <c r="BZO2" s="107"/>
      <c r="BZP2" s="107"/>
      <c r="BZQ2" s="107"/>
      <c r="BZR2" s="107"/>
      <c r="BZS2" s="107"/>
      <c r="BZT2" s="107"/>
      <c r="BZU2" s="107"/>
      <c r="BZV2" s="107"/>
      <c r="BZW2" s="107"/>
      <c r="BZX2" s="107"/>
      <c r="BZY2" s="107"/>
      <c r="BZZ2" s="107"/>
      <c r="CAA2" s="107"/>
      <c r="CAB2" s="107"/>
      <c r="CAC2" s="107"/>
      <c r="CAD2" s="107"/>
      <c r="CAE2" s="107"/>
      <c r="CAF2" s="107"/>
      <c r="CAG2" s="107"/>
      <c r="CAH2" s="107"/>
      <c r="CAI2" s="107"/>
      <c r="CAJ2" s="107"/>
      <c r="CAK2" s="107"/>
      <c r="CAL2" s="107"/>
      <c r="CAM2" s="107"/>
      <c r="CAN2" s="107"/>
      <c r="CAO2" s="107"/>
      <c r="CAP2" s="107"/>
      <c r="CAQ2" s="107"/>
      <c r="CAR2" s="107"/>
      <c r="CAS2" s="107"/>
      <c r="CAT2" s="107"/>
      <c r="CAU2" s="107"/>
      <c r="CAV2" s="107"/>
      <c r="CAW2" s="107"/>
      <c r="CAX2" s="107"/>
      <c r="CAY2" s="107"/>
      <c r="CAZ2" s="107"/>
      <c r="CBA2" s="107"/>
      <c r="CBB2" s="107"/>
      <c r="CBC2" s="107"/>
      <c r="CBD2" s="107"/>
      <c r="CBE2" s="107"/>
      <c r="CBF2" s="107"/>
      <c r="CBG2" s="107"/>
      <c r="CBH2" s="107"/>
      <c r="CBI2" s="107"/>
      <c r="CBJ2" s="107"/>
      <c r="CBK2" s="107"/>
      <c r="CBL2" s="107"/>
      <c r="CBM2" s="107"/>
      <c r="CBN2" s="107"/>
      <c r="CBO2" s="107"/>
      <c r="CBP2" s="107"/>
      <c r="CBQ2" s="107"/>
      <c r="CBR2" s="107"/>
      <c r="CBS2" s="107"/>
      <c r="CBT2" s="107"/>
      <c r="CBU2" s="107"/>
      <c r="CBV2" s="107"/>
      <c r="CBW2" s="107"/>
      <c r="CBX2" s="107"/>
      <c r="CBY2" s="107"/>
      <c r="CBZ2" s="107"/>
      <c r="CCA2" s="107"/>
      <c r="CCB2" s="107"/>
      <c r="CCC2" s="107"/>
      <c r="CCD2" s="107"/>
      <c r="CCE2" s="107"/>
      <c r="CCF2" s="107"/>
      <c r="CCG2" s="107"/>
      <c r="CCH2" s="107"/>
      <c r="CCI2" s="107"/>
      <c r="CCJ2" s="107"/>
      <c r="CCK2" s="107"/>
      <c r="CCL2" s="107"/>
      <c r="CCM2" s="107"/>
      <c r="CCN2" s="107"/>
      <c r="CCO2" s="107"/>
      <c r="CCP2" s="107"/>
      <c r="CCQ2" s="107"/>
      <c r="CCR2" s="107"/>
      <c r="CCS2" s="107"/>
      <c r="CCT2" s="107"/>
      <c r="CCU2" s="107"/>
      <c r="CCV2" s="107"/>
      <c r="CCW2" s="107"/>
      <c r="CCX2" s="107"/>
      <c r="CCY2" s="107"/>
      <c r="CCZ2" s="107"/>
      <c r="CDA2" s="107"/>
      <c r="CDB2" s="107"/>
      <c r="CDC2" s="107"/>
      <c r="CDD2" s="107"/>
      <c r="CDE2" s="107"/>
      <c r="CDF2" s="107"/>
      <c r="CDG2" s="107"/>
      <c r="CDH2" s="107"/>
      <c r="CDI2" s="107"/>
      <c r="CDJ2" s="107"/>
      <c r="CDK2" s="107"/>
      <c r="CDL2" s="107"/>
      <c r="CDM2" s="107"/>
      <c r="CDN2" s="107"/>
      <c r="CDO2" s="107"/>
      <c r="CDP2" s="107"/>
      <c r="CDQ2" s="107"/>
      <c r="CDR2" s="107"/>
      <c r="CDS2" s="107"/>
      <c r="CDT2" s="107"/>
      <c r="CDU2" s="107"/>
      <c r="CDV2" s="107"/>
      <c r="CDW2" s="107"/>
      <c r="CDX2" s="107"/>
      <c r="CDY2" s="107"/>
      <c r="CDZ2" s="107"/>
      <c r="CEA2" s="107"/>
      <c r="CEB2" s="107"/>
      <c r="CEC2" s="107"/>
      <c r="CED2" s="107"/>
      <c r="CEE2" s="107"/>
      <c r="CEF2" s="107"/>
      <c r="CEG2" s="107"/>
      <c r="CEH2" s="107"/>
      <c r="CEI2" s="107"/>
      <c r="CEJ2" s="107"/>
      <c r="CEK2" s="107"/>
      <c r="CEL2" s="107"/>
      <c r="CEM2" s="107"/>
      <c r="CEN2" s="107"/>
      <c r="CEO2" s="107"/>
      <c r="CEP2" s="107"/>
      <c r="CEQ2" s="107"/>
      <c r="CER2" s="107"/>
      <c r="CES2" s="107"/>
      <c r="CET2" s="107"/>
      <c r="CEU2" s="107"/>
      <c r="CEV2" s="107"/>
      <c r="CEW2" s="107"/>
      <c r="CEX2" s="107"/>
      <c r="CEY2" s="107"/>
      <c r="CEZ2" s="107"/>
      <c r="CFA2" s="107"/>
      <c r="CFB2" s="107"/>
      <c r="CFC2" s="107"/>
      <c r="CFD2" s="107"/>
      <c r="CFE2" s="107"/>
      <c r="CFF2" s="107"/>
      <c r="CFG2" s="107"/>
      <c r="CFH2" s="107"/>
      <c r="CFI2" s="107"/>
      <c r="CFJ2" s="107"/>
      <c r="CFK2" s="107"/>
      <c r="CFL2" s="107"/>
      <c r="CFM2" s="107"/>
      <c r="CFN2" s="107"/>
      <c r="CFO2" s="107"/>
      <c r="CFP2" s="107"/>
      <c r="CFQ2" s="107"/>
      <c r="CFR2" s="107"/>
      <c r="CFS2" s="107"/>
      <c r="CFT2" s="107"/>
      <c r="CFU2" s="107"/>
      <c r="CFV2" s="107"/>
      <c r="CFW2" s="107"/>
      <c r="CFX2" s="107"/>
      <c r="CFY2" s="107"/>
      <c r="CFZ2" s="107"/>
      <c r="CGA2" s="107"/>
      <c r="CGB2" s="107"/>
      <c r="CGC2" s="107"/>
      <c r="CGD2" s="107"/>
      <c r="CGE2" s="107"/>
      <c r="CGF2" s="107"/>
      <c r="CGG2" s="107"/>
      <c r="CGH2" s="107"/>
      <c r="CGI2" s="107"/>
      <c r="CGJ2" s="107"/>
      <c r="CGK2" s="107"/>
      <c r="CGL2" s="107"/>
      <c r="CGM2" s="107"/>
      <c r="CGN2" s="107"/>
      <c r="CGO2" s="107"/>
      <c r="CGP2" s="107"/>
      <c r="CGQ2" s="107"/>
      <c r="CGR2" s="107"/>
      <c r="CGS2" s="107"/>
      <c r="CGT2" s="107"/>
      <c r="CGU2" s="107"/>
      <c r="CGV2" s="107"/>
      <c r="CGW2" s="107"/>
      <c r="CGX2" s="107"/>
      <c r="CGY2" s="107"/>
      <c r="CGZ2" s="107"/>
      <c r="CHA2" s="107"/>
      <c r="CHB2" s="107"/>
      <c r="CHC2" s="107"/>
      <c r="CHD2" s="107"/>
      <c r="CHE2" s="107"/>
      <c r="CHF2" s="107"/>
      <c r="CHG2" s="107"/>
      <c r="CHH2" s="107"/>
      <c r="CHI2" s="107"/>
      <c r="CHJ2" s="107"/>
      <c r="CHK2" s="107"/>
      <c r="CHL2" s="107"/>
      <c r="CHM2" s="107"/>
      <c r="CHN2" s="107"/>
      <c r="CHO2" s="107"/>
      <c r="CHP2" s="107"/>
      <c r="CHQ2" s="107"/>
      <c r="CHR2" s="107"/>
      <c r="CHS2" s="107"/>
      <c r="CHT2" s="107"/>
      <c r="CHU2" s="107"/>
      <c r="CHV2" s="107"/>
      <c r="CHW2" s="107"/>
      <c r="CHX2" s="107"/>
      <c r="CHY2" s="107"/>
      <c r="CHZ2" s="107"/>
      <c r="CIA2" s="107"/>
      <c r="CIB2" s="107"/>
      <c r="CIC2" s="107"/>
      <c r="CID2" s="107"/>
      <c r="CIE2" s="107"/>
      <c r="CIF2" s="107"/>
      <c r="CIG2" s="107"/>
      <c r="CIH2" s="107"/>
      <c r="CII2" s="107"/>
      <c r="CIJ2" s="107"/>
      <c r="CIK2" s="107"/>
      <c r="CIL2" s="107"/>
      <c r="CIM2" s="107"/>
      <c r="CIN2" s="107"/>
      <c r="CIO2" s="107"/>
      <c r="CIP2" s="107"/>
      <c r="CIQ2" s="107"/>
      <c r="CIR2" s="107"/>
      <c r="CIS2" s="107"/>
      <c r="CIT2" s="107"/>
      <c r="CIU2" s="107"/>
      <c r="CIV2" s="107"/>
      <c r="CIW2" s="107"/>
      <c r="CIX2" s="107"/>
      <c r="CIY2" s="107"/>
      <c r="CIZ2" s="107"/>
      <c r="CJA2" s="107"/>
      <c r="CJB2" s="107"/>
      <c r="CJC2" s="107"/>
      <c r="CJD2" s="107"/>
      <c r="CJE2" s="107"/>
      <c r="CJF2" s="107"/>
      <c r="CJG2" s="107"/>
      <c r="CJH2" s="107"/>
      <c r="CJI2" s="107"/>
      <c r="CJJ2" s="107"/>
      <c r="CJK2" s="107"/>
      <c r="CJL2" s="107"/>
      <c r="CJM2" s="107"/>
      <c r="CJN2" s="107"/>
      <c r="CJO2" s="107"/>
      <c r="CJP2" s="107"/>
      <c r="CJQ2" s="107"/>
      <c r="CJR2" s="107"/>
      <c r="CJS2" s="107"/>
      <c r="CJT2" s="107"/>
      <c r="CJU2" s="107"/>
      <c r="CJV2" s="107"/>
      <c r="CJW2" s="107"/>
      <c r="CJX2" s="107"/>
      <c r="CJY2" s="107"/>
      <c r="CJZ2" s="107"/>
      <c r="CKA2" s="107"/>
      <c r="CKB2" s="107"/>
      <c r="CKC2" s="107"/>
      <c r="CKD2" s="107"/>
      <c r="CKE2" s="107"/>
      <c r="CKF2" s="107"/>
      <c r="CKG2" s="107"/>
      <c r="CKH2" s="107"/>
      <c r="CKI2" s="107"/>
      <c r="CKJ2" s="107"/>
      <c r="CKK2" s="107"/>
      <c r="CKL2" s="107"/>
      <c r="CKM2" s="107"/>
      <c r="CKN2" s="107"/>
      <c r="CKO2" s="107"/>
      <c r="CKP2" s="107"/>
      <c r="CKQ2" s="107"/>
      <c r="CKR2" s="107"/>
      <c r="CKS2" s="107"/>
      <c r="CKT2" s="107"/>
      <c r="CKU2" s="107"/>
      <c r="CKV2" s="107"/>
      <c r="CKW2" s="107"/>
      <c r="CKX2" s="107"/>
      <c r="CKY2" s="107"/>
      <c r="CKZ2" s="107"/>
      <c r="CLA2" s="107"/>
      <c r="CLB2" s="107"/>
      <c r="CLC2" s="107"/>
      <c r="CLD2" s="107"/>
      <c r="CLE2" s="107"/>
      <c r="CLF2" s="107"/>
      <c r="CLG2" s="107"/>
      <c r="CLH2" s="107"/>
      <c r="CLI2" s="107"/>
      <c r="CLJ2" s="107"/>
      <c r="CLK2" s="107"/>
      <c r="CLL2" s="107"/>
      <c r="CLM2" s="107"/>
      <c r="CLN2" s="107"/>
      <c r="CLO2" s="107"/>
      <c r="CLP2" s="107"/>
      <c r="CLQ2" s="107"/>
      <c r="CLR2" s="107"/>
      <c r="CLS2" s="107"/>
      <c r="CLT2" s="107"/>
      <c r="CLU2" s="107"/>
      <c r="CLV2" s="107"/>
      <c r="CLW2" s="107"/>
      <c r="CLX2" s="107"/>
      <c r="CLY2" s="107"/>
      <c r="CLZ2" s="107"/>
      <c r="CMA2" s="107"/>
      <c r="CMB2" s="107"/>
      <c r="CMC2" s="107"/>
      <c r="CMD2" s="107"/>
      <c r="CME2" s="107"/>
      <c r="CMF2" s="107"/>
      <c r="CMG2" s="107"/>
      <c r="CMH2" s="107"/>
      <c r="CMI2" s="107"/>
      <c r="CMJ2" s="107"/>
      <c r="CMK2" s="107"/>
      <c r="CML2" s="107"/>
      <c r="CMM2" s="107"/>
      <c r="CMN2" s="107"/>
      <c r="CMO2" s="107"/>
      <c r="CMP2" s="107"/>
      <c r="CMQ2" s="107"/>
      <c r="CMR2" s="107"/>
      <c r="CMS2" s="107"/>
      <c r="CMT2" s="107"/>
      <c r="CMU2" s="107"/>
      <c r="CMV2" s="107"/>
      <c r="CMW2" s="107"/>
      <c r="CMX2" s="107"/>
      <c r="CMY2" s="107"/>
      <c r="CMZ2" s="107"/>
      <c r="CNA2" s="107"/>
      <c r="CNB2" s="107"/>
      <c r="CNC2" s="107"/>
      <c r="CND2" s="107"/>
      <c r="CNE2" s="107"/>
      <c r="CNF2" s="107"/>
      <c r="CNG2" s="107"/>
      <c r="CNH2" s="107"/>
      <c r="CNI2" s="107"/>
      <c r="CNJ2" s="107"/>
      <c r="CNK2" s="107"/>
      <c r="CNL2" s="107"/>
      <c r="CNM2" s="107"/>
      <c r="CNN2" s="107"/>
      <c r="CNO2" s="107"/>
      <c r="CNP2" s="107"/>
      <c r="CNQ2" s="107"/>
      <c r="CNR2" s="107"/>
      <c r="CNS2" s="107"/>
      <c r="CNT2" s="107"/>
      <c r="CNU2" s="107"/>
      <c r="CNV2" s="107"/>
      <c r="CNW2" s="107"/>
      <c r="CNX2" s="107"/>
      <c r="CNY2" s="107"/>
      <c r="CNZ2" s="107"/>
      <c r="COA2" s="107"/>
      <c r="COB2" s="107"/>
      <c r="COC2" s="107"/>
      <c r="COD2" s="107"/>
      <c r="COE2" s="107"/>
      <c r="COF2" s="107"/>
      <c r="COG2" s="107"/>
      <c r="COH2" s="107"/>
      <c r="COI2" s="107"/>
      <c r="COJ2" s="107"/>
      <c r="COK2" s="107"/>
      <c r="COL2" s="107"/>
      <c r="COM2" s="107"/>
      <c r="CON2" s="107"/>
      <c r="COO2" s="107"/>
      <c r="COP2" s="107"/>
      <c r="COQ2" s="107"/>
      <c r="COR2" s="107"/>
      <c r="COS2" s="107"/>
      <c r="COT2" s="107"/>
      <c r="COU2" s="107"/>
      <c r="COV2" s="107"/>
      <c r="COW2" s="107"/>
      <c r="COX2" s="107"/>
      <c r="COY2" s="107"/>
      <c r="COZ2" s="107"/>
      <c r="CPA2" s="107"/>
      <c r="CPB2" s="107"/>
      <c r="CPC2" s="107"/>
      <c r="CPD2" s="107"/>
      <c r="CPE2" s="107"/>
      <c r="CPF2" s="107"/>
      <c r="CPG2" s="107"/>
      <c r="CPH2" s="107"/>
      <c r="CPI2" s="107"/>
      <c r="CPJ2" s="107"/>
      <c r="CPK2" s="107"/>
      <c r="CPL2" s="107"/>
      <c r="CPM2" s="107"/>
      <c r="CPN2" s="107"/>
      <c r="CPO2" s="107"/>
      <c r="CPP2" s="107"/>
      <c r="CPQ2" s="107"/>
      <c r="CPR2" s="107"/>
      <c r="CPS2" s="107"/>
      <c r="CPT2" s="107"/>
      <c r="CPU2" s="107"/>
      <c r="CPV2" s="107"/>
      <c r="CPW2" s="107"/>
      <c r="CPX2" s="107"/>
      <c r="CPY2" s="107"/>
      <c r="CPZ2" s="107"/>
      <c r="CQA2" s="107"/>
      <c r="CQB2" s="107"/>
      <c r="CQC2" s="107"/>
      <c r="CQD2" s="107"/>
      <c r="CQE2" s="107"/>
      <c r="CQF2" s="107"/>
      <c r="CQG2" s="107"/>
      <c r="CQH2" s="107"/>
      <c r="CQI2" s="107"/>
      <c r="CQJ2" s="107"/>
      <c r="CQK2" s="107"/>
      <c r="CQL2" s="107"/>
      <c r="CQM2" s="107"/>
      <c r="CQN2" s="107"/>
      <c r="CQO2" s="107"/>
      <c r="CQP2" s="107"/>
      <c r="CQQ2" s="107"/>
      <c r="CQR2" s="107"/>
      <c r="CQS2" s="107"/>
      <c r="CQT2" s="107"/>
      <c r="CQU2" s="107"/>
      <c r="CQV2" s="107"/>
      <c r="CQW2" s="107"/>
      <c r="CQX2" s="107"/>
      <c r="CQY2" s="107"/>
      <c r="CQZ2" s="107"/>
      <c r="CRA2" s="107"/>
      <c r="CRB2" s="107"/>
      <c r="CRC2" s="107"/>
      <c r="CRD2" s="107"/>
      <c r="CRE2" s="107"/>
      <c r="CRF2" s="107"/>
      <c r="CRG2" s="107"/>
      <c r="CRH2" s="107"/>
      <c r="CRI2" s="107"/>
      <c r="CRJ2" s="107"/>
      <c r="CRK2" s="107"/>
      <c r="CRL2" s="107"/>
      <c r="CRM2" s="107"/>
      <c r="CRN2" s="107"/>
      <c r="CRO2" s="107"/>
      <c r="CRP2" s="107"/>
      <c r="CRQ2" s="107"/>
      <c r="CRR2" s="107"/>
      <c r="CRS2" s="107"/>
      <c r="CRT2" s="107"/>
      <c r="CRU2" s="107"/>
      <c r="CRV2" s="107"/>
      <c r="CRW2" s="107"/>
      <c r="CRX2" s="107"/>
      <c r="CRY2" s="107"/>
      <c r="CRZ2" s="107"/>
      <c r="CSA2" s="107"/>
      <c r="CSB2" s="107"/>
      <c r="CSC2" s="107"/>
      <c r="CSD2" s="107"/>
      <c r="CSE2" s="107"/>
      <c r="CSF2" s="107"/>
      <c r="CSG2" s="107"/>
      <c r="CSH2" s="107"/>
      <c r="CSI2" s="107"/>
      <c r="CSJ2" s="107"/>
      <c r="CSK2" s="107"/>
      <c r="CSL2" s="107"/>
      <c r="CSM2" s="107"/>
      <c r="CSN2" s="107"/>
      <c r="CSO2" s="107"/>
      <c r="CSP2" s="107"/>
      <c r="CSQ2" s="107"/>
      <c r="CSR2" s="107"/>
      <c r="CSS2" s="107"/>
      <c r="CST2" s="107"/>
      <c r="CSU2" s="107"/>
      <c r="CSV2" s="107"/>
      <c r="CSW2" s="107"/>
      <c r="CSX2" s="107"/>
      <c r="CSY2" s="107"/>
      <c r="CSZ2" s="107"/>
      <c r="CTA2" s="107"/>
      <c r="CTB2" s="107"/>
      <c r="CTC2" s="107"/>
      <c r="CTD2" s="107"/>
      <c r="CTE2" s="107"/>
      <c r="CTF2" s="107"/>
      <c r="CTG2" s="107"/>
      <c r="CTH2" s="107"/>
      <c r="CTI2" s="107"/>
      <c r="CTJ2" s="107"/>
      <c r="CTK2" s="107"/>
      <c r="CTL2" s="107"/>
      <c r="CTM2" s="107"/>
      <c r="CTN2" s="107"/>
      <c r="CTO2" s="107"/>
      <c r="CTP2" s="107"/>
      <c r="CTQ2" s="107"/>
      <c r="CTR2" s="107"/>
      <c r="CTS2" s="107"/>
      <c r="CTT2" s="107"/>
      <c r="CTU2" s="107"/>
      <c r="CTV2" s="107"/>
      <c r="CTW2" s="107"/>
      <c r="CTX2" s="107"/>
      <c r="CTY2" s="107"/>
      <c r="CTZ2" s="107"/>
      <c r="CUA2" s="107"/>
      <c r="CUB2" s="107"/>
      <c r="CUC2" s="107"/>
      <c r="CUD2" s="107"/>
      <c r="CUE2" s="107"/>
      <c r="CUF2" s="107"/>
      <c r="CUG2" s="107"/>
      <c r="CUH2" s="107"/>
      <c r="CUI2" s="107"/>
      <c r="CUJ2" s="107"/>
      <c r="CUK2" s="107"/>
      <c r="CUL2" s="107"/>
      <c r="CUM2" s="107"/>
      <c r="CUN2" s="107"/>
      <c r="CUO2" s="107"/>
      <c r="CUP2" s="107"/>
      <c r="CUQ2" s="107"/>
      <c r="CUR2" s="107"/>
      <c r="CUS2" s="107"/>
      <c r="CUT2" s="107"/>
      <c r="CUU2" s="107"/>
      <c r="CUV2" s="107"/>
      <c r="CUW2" s="107"/>
      <c r="CUX2" s="107"/>
      <c r="CUY2" s="107"/>
      <c r="CUZ2" s="107"/>
      <c r="CVA2" s="107"/>
      <c r="CVB2" s="107"/>
      <c r="CVC2" s="107"/>
      <c r="CVD2" s="107"/>
      <c r="CVE2" s="107"/>
      <c r="CVF2" s="107"/>
      <c r="CVG2" s="107"/>
      <c r="CVH2" s="107"/>
      <c r="CVI2" s="107"/>
      <c r="CVJ2" s="107"/>
      <c r="CVK2" s="107"/>
      <c r="CVL2" s="107"/>
      <c r="CVM2" s="107"/>
      <c r="CVN2" s="107"/>
      <c r="CVO2" s="107"/>
      <c r="CVP2" s="107"/>
      <c r="CVQ2" s="107"/>
      <c r="CVR2" s="107"/>
      <c r="CVS2" s="107"/>
      <c r="CVT2" s="107"/>
      <c r="CVU2" s="107"/>
      <c r="CVV2" s="107"/>
      <c r="CVW2" s="107"/>
      <c r="CVX2" s="107"/>
      <c r="CVY2" s="107"/>
      <c r="CVZ2" s="107"/>
      <c r="CWA2" s="107"/>
      <c r="CWB2" s="107"/>
      <c r="CWC2" s="107"/>
      <c r="CWD2" s="107"/>
      <c r="CWE2" s="107"/>
      <c r="CWF2" s="107"/>
      <c r="CWG2" s="107"/>
      <c r="CWH2" s="107"/>
      <c r="CWI2" s="107"/>
      <c r="CWJ2" s="107"/>
      <c r="CWK2" s="107"/>
      <c r="CWL2" s="107"/>
      <c r="CWM2" s="107"/>
      <c r="CWN2" s="107"/>
      <c r="CWO2" s="107"/>
      <c r="CWP2" s="107"/>
      <c r="CWQ2" s="107"/>
      <c r="CWR2" s="107"/>
      <c r="CWS2" s="107"/>
      <c r="CWT2" s="107"/>
      <c r="CWU2" s="107"/>
      <c r="CWV2" s="107"/>
      <c r="CWW2" s="107"/>
      <c r="CWX2" s="107"/>
      <c r="CWY2" s="107"/>
      <c r="CWZ2" s="107"/>
      <c r="CXA2" s="107"/>
      <c r="CXB2" s="107"/>
      <c r="CXC2" s="107"/>
      <c r="CXD2" s="107"/>
      <c r="CXE2" s="107"/>
      <c r="CXF2" s="107"/>
      <c r="CXG2" s="107"/>
      <c r="CXH2" s="107"/>
      <c r="CXI2" s="107"/>
      <c r="CXJ2" s="107"/>
      <c r="CXK2" s="107"/>
      <c r="CXL2" s="107"/>
      <c r="CXM2" s="107"/>
      <c r="CXN2" s="107"/>
      <c r="CXO2" s="107"/>
      <c r="CXP2" s="107"/>
      <c r="CXQ2" s="107"/>
      <c r="CXR2" s="107"/>
      <c r="CXS2" s="107"/>
      <c r="CXT2" s="107"/>
      <c r="CXU2" s="107"/>
      <c r="CXV2" s="107"/>
      <c r="CXW2" s="107"/>
      <c r="CXX2" s="107"/>
      <c r="CXY2" s="107"/>
      <c r="CXZ2" s="107"/>
      <c r="CYA2" s="107"/>
      <c r="CYB2" s="107"/>
      <c r="CYC2" s="107"/>
      <c r="CYD2" s="107"/>
      <c r="CYE2" s="107"/>
      <c r="CYF2" s="107"/>
      <c r="CYG2" s="107"/>
      <c r="CYH2" s="107"/>
      <c r="CYI2" s="107"/>
      <c r="CYJ2" s="107"/>
      <c r="CYK2" s="107"/>
      <c r="CYL2" s="107"/>
      <c r="CYM2" s="107"/>
      <c r="CYN2" s="107"/>
      <c r="CYO2" s="107"/>
      <c r="CYP2" s="107"/>
      <c r="CYQ2" s="107"/>
      <c r="CYR2" s="107"/>
      <c r="CYS2" s="107"/>
      <c r="CYT2" s="107"/>
      <c r="CYU2" s="107"/>
      <c r="CYV2" s="107"/>
      <c r="CYW2" s="107"/>
      <c r="CYX2" s="107"/>
      <c r="CYY2" s="107"/>
      <c r="CYZ2" s="107"/>
      <c r="CZA2" s="107"/>
      <c r="CZB2" s="107"/>
      <c r="CZC2" s="107"/>
      <c r="CZD2" s="107"/>
      <c r="CZE2" s="107"/>
      <c r="CZF2" s="107"/>
      <c r="CZG2" s="107"/>
      <c r="CZH2" s="107"/>
      <c r="CZI2" s="107"/>
      <c r="CZJ2" s="107"/>
      <c r="CZK2" s="107"/>
      <c r="CZL2" s="107"/>
      <c r="CZM2" s="107"/>
      <c r="CZN2" s="107"/>
      <c r="CZO2" s="107"/>
      <c r="CZP2" s="107"/>
      <c r="CZQ2" s="107"/>
      <c r="CZR2" s="107"/>
      <c r="CZS2" s="107"/>
      <c r="CZT2" s="107"/>
      <c r="CZU2" s="107"/>
      <c r="CZV2" s="107"/>
      <c r="CZW2" s="107"/>
      <c r="CZX2" s="107"/>
      <c r="CZY2" s="107"/>
      <c r="CZZ2" s="107"/>
      <c r="DAA2" s="107"/>
      <c r="DAB2" s="107"/>
      <c r="DAC2" s="107"/>
      <c r="DAD2" s="107"/>
      <c r="DAE2" s="107"/>
      <c r="DAF2" s="107"/>
      <c r="DAG2" s="107"/>
      <c r="DAH2" s="107"/>
      <c r="DAI2" s="107"/>
      <c r="DAJ2" s="107"/>
      <c r="DAK2" s="107"/>
      <c r="DAL2" s="107"/>
      <c r="DAM2" s="107"/>
      <c r="DAN2" s="107"/>
      <c r="DAO2" s="107"/>
      <c r="DAP2" s="107"/>
      <c r="DAQ2" s="107"/>
      <c r="DAR2" s="107"/>
      <c r="DAS2" s="107"/>
      <c r="DAT2" s="107"/>
      <c r="DAU2" s="107"/>
      <c r="DAV2" s="107"/>
      <c r="DAW2" s="107"/>
      <c r="DAX2" s="107"/>
      <c r="DAY2" s="107"/>
      <c r="DAZ2" s="107"/>
      <c r="DBA2" s="107"/>
      <c r="DBB2" s="107"/>
      <c r="DBC2" s="107"/>
      <c r="DBD2" s="107"/>
      <c r="DBE2" s="107"/>
      <c r="DBF2" s="107"/>
      <c r="DBG2" s="107"/>
      <c r="DBH2" s="107"/>
      <c r="DBI2" s="107"/>
      <c r="DBJ2" s="107"/>
      <c r="DBK2" s="107"/>
      <c r="DBL2" s="107"/>
      <c r="DBM2" s="107"/>
      <c r="DBN2" s="107"/>
      <c r="DBO2" s="107"/>
      <c r="DBP2" s="107"/>
      <c r="DBQ2" s="107"/>
      <c r="DBR2" s="107"/>
      <c r="DBS2" s="107"/>
      <c r="DBT2" s="107"/>
      <c r="DBU2" s="107"/>
      <c r="DBV2" s="107"/>
      <c r="DBW2" s="107"/>
      <c r="DBX2" s="107"/>
      <c r="DBY2" s="107"/>
      <c r="DBZ2" s="107"/>
      <c r="DCA2" s="107"/>
      <c r="DCB2" s="107"/>
      <c r="DCC2" s="107"/>
      <c r="DCD2" s="107"/>
      <c r="DCE2" s="107"/>
      <c r="DCF2" s="107"/>
      <c r="DCG2" s="107"/>
      <c r="DCH2" s="107"/>
      <c r="DCI2" s="107"/>
      <c r="DCJ2" s="107"/>
      <c r="DCK2" s="107"/>
      <c r="DCL2" s="107"/>
      <c r="DCM2" s="107"/>
      <c r="DCN2" s="107"/>
      <c r="DCO2" s="107"/>
      <c r="DCP2" s="107"/>
      <c r="DCQ2" s="107"/>
      <c r="DCR2" s="107"/>
      <c r="DCS2" s="107"/>
      <c r="DCT2" s="107"/>
      <c r="DCU2" s="107"/>
      <c r="DCV2" s="107"/>
      <c r="DCW2" s="107"/>
      <c r="DCX2" s="107"/>
      <c r="DCY2" s="107"/>
      <c r="DCZ2" s="107"/>
      <c r="DDA2" s="107"/>
      <c r="DDB2" s="107"/>
      <c r="DDC2" s="107"/>
      <c r="DDD2" s="107"/>
      <c r="DDE2" s="107"/>
      <c r="DDF2" s="107"/>
      <c r="DDG2" s="107"/>
      <c r="DDH2" s="107"/>
      <c r="DDI2" s="107"/>
      <c r="DDJ2" s="107"/>
      <c r="DDK2" s="107"/>
      <c r="DDL2" s="107"/>
      <c r="DDM2" s="107"/>
      <c r="DDN2" s="107"/>
      <c r="DDO2" s="107"/>
      <c r="DDP2" s="107"/>
      <c r="DDQ2" s="107"/>
      <c r="DDR2" s="107"/>
      <c r="DDS2" s="107"/>
      <c r="DDT2" s="107"/>
      <c r="DDU2" s="107"/>
      <c r="DDV2" s="107"/>
      <c r="DDW2" s="107"/>
      <c r="DDX2" s="107"/>
      <c r="DDY2" s="107"/>
      <c r="DDZ2" s="107"/>
      <c r="DEA2" s="107"/>
      <c r="DEB2" s="107"/>
      <c r="DEC2" s="107"/>
      <c r="DED2" s="107"/>
      <c r="DEE2" s="107"/>
      <c r="DEF2" s="107"/>
      <c r="DEG2" s="107"/>
      <c r="DEH2" s="107"/>
      <c r="DEI2" s="107"/>
      <c r="DEJ2" s="107"/>
      <c r="DEK2" s="107"/>
      <c r="DEL2" s="107"/>
      <c r="DEM2" s="107"/>
      <c r="DEN2" s="107"/>
      <c r="DEO2" s="107"/>
      <c r="DEP2" s="107"/>
      <c r="DEQ2" s="107"/>
      <c r="DER2" s="107"/>
      <c r="DES2" s="107"/>
      <c r="DET2" s="107"/>
      <c r="DEU2" s="107"/>
      <c r="DEV2" s="107"/>
      <c r="DEW2" s="107"/>
      <c r="DEX2" s="107"/>
      <c r="DEY2" s="107"/>
      <c r="DEZ2" s="107"/>
      <c r="DFA2" s="107"/>
      <c r="DFB2" s="107"/>
      <c r="DFC2" s="107"/>
      <c r="DFD2" s="107"/>
      <c r="DFE2" s="107"/>
      <c r="DFF2" s="107"/>
      <c r="DFG2" s="107"/>
      <c r="DFH2" s="107"/>
      <c r="DFI2" s="107"/>
      <c r="DFJ2" s="107"/>
      <c r="DFK2" s="107"/>
      <c r="DFL2" s="107"/>
      <c r="DFM2" s="107"/>
      <c r="DFN2" s="107"/>
      <c r="DFO2" s="107"/>
      <c r="DFP2" s="107"/>
      <c r="DFQ2" s="107"/>
      <c r="DFR2" s="107"/>
      <c r="DFS2" s="107"/>
      <c r="DFT2" s="107"/>
      <c r="DFU2" s="107"/>
      <c r="DFV2" s="107"/>
      <c r="DFW2" s="107"/>
      <c r="DFX2" s="107"/>
      <c r="DFY2" s="107"/>
      <c r="DFZ2" s="107"/>
      <c r="DGA2" s="107"/>
      <c r="DGB2" s="107"/>
      <c r="DGC2" s="107"/>
      <c r="DGD2" s="107"/>
      <c r="DGE2" s="107"/>
      <c r="DGF2" s="107"/>
      <c r="DGG2" s="107"/>
      <c r="DGH2" s="107"/>
      <c r="DGI2" s="107"/>
      <c r="DGJ2" s="107"/>
      <c r="DGK2" s="107"/>
      <c r="DGL2" s="107"/>
      <c r="DGM2" s="107"/>
      <c r="DGN2" s="107"/>
      <c r="DGO2" s="107"/>
      <c r="DGP2" s="107"/>
      <c r="DGQ2" s="107"/>
      <c r="DGR2" s="107"/>
      <c r="DGS2" s="107"/>
      <c r="DGT2" s="107"/>
      <c r="DGU2" s="107"/>
      <c r="DGV2" s="107"/>
      <c r="DGW2" s="107"/>
      <c r="DGX2" s="107"/>
      <c r="DGY2" s="107"/>
      <c r="DGZ2" s="107"/>
      <c r="DHA2" s="107"/>
      <c r="DHB2" s="107"/>
      <c r="DHC2" s="107"/>
      <c r="DHD2" s="107"/>
      <c r="DHE2" s="107"/>
      <c r="DHF2" s="107"/>
      <c r="DHG2" s="107"/>
      <c r="DHH2" s="107"/>
      <c r="DHI2" s="107"/>
      <c r="DHJ2" s="107"/>
      <c r="DHK2" s="107"/>
      <c r="DHL2" s="107"/>
      <c r="DHM2" s="107"/>
      <c r="DHN2" s="107"/>
      <c r="DHO2" s="107"/>
      <c r="DHP2" s="107"/>
      <c r="DHQ2" s="107"/>
      <c r="DHR2" s="107"/>
      <c r="DHS2" s="107"/>
      <c r="DHT2" s="107"/>
      <c r="DHU2" s="107"/>
      <c r="DHV2" s="107"/>
      <c r="DHW2" s="107"/>
      <c r="DHX2" s="107"/>
      <c r="DHY2" s="107"/>
      <c r="DHZ2" s="107"/>
      <c r="DIA2" s="107"/>
      <c r="DIB2" s="107"/>
      <c r="DIC2" s="107"/>
      <c r="DID2" s="107"/>
      <c r="DIE2" s="107"/>
      <c r="DIF2" s="107"/>
      <c r="DIG2" s="107"/>
      <c r="DIH2" s="107"/>
      <c r="DII2" s="107"/>
      <c r="DIJ2" s="107"/>
      <c r="DIK2" s="107"/>
      <c r="DIL2" s="107"/>
      <c r="DIM2" s="107"/>
      <c r="DIN2" s="107"/>
      <c r="DIO2" s="107"/>
      <c r="DIP2" s="107"/>
      <c r="DIQ2" s="107"/>
      <c r="DIR2" s="107"/>
      <c r="DIS2" s="107"/>
      <c r="DIT2" s="107"/>
      <c r="DIU2" s="107"/>
      <c r="DIV2" s="107"/>
      <c r="DIW2" s="107"/>
      <c r="DIX2" s="107"/>
      <c r="DIY2" s="107"/>
      <c r="DIZ2" s="107"/>
      <c r="DJA2" s="107"/>
      <c r="DJB2" s="107"/>
      <c r="DJC2" s="107"/>
      <c r="DJD2" s="107"/>
      <c r="DJE2" s="107"/>
      <c r="DJF2" s="107"/>
      <c r="DJG2" s="107"/>
      <c r="DJH2" s="107"/>
      <c r="DJI2" s="107"/>
      <c r="DJJ2" s="107"/>
      <c r="DJK2" s="107"/>
      <c r="DJL2" s="107"/>
      <c r="DJM2" s="107"/>
      <c r="DJN2" s="107"/>
      <c r="DJO2" s="107"/>
      <c r="DJP2" s="107"/>
      <c r="DJQ2" s="107"/>
      <c r="DJR2" s="107"/>
      <c r="DJS2" s="107"/>
      <c r="DJT2" s="107"/>
      <c r="DJU2" s="107"/>
      <c r="DJV2" s="107"/>
      <c r="DJW2" s="107"/>
      <c r="DJX2" s="107"/>
      <c r="DJY2" s="107"/>
      <c r="DJZ2" s="107"/>
      <c r="DKA2" s="107"/>
      <c r="DKB2" s="107"/>
      <c r="DKC2" s="107"/>
      <c r="DKD2" s="107"/>
      <c r="DKE2" s="107"/>
      <c r="DKF2" s="107"/>
      <c r="DKG2" s="107"/>
      <c r="DKH2" s="107"/>
      <c r="DKI2" s="107"/>
      <c r="DKJ2" s="107"/>
      <c r="DKK2" s="107"/>
      <c r="DKL2" s="107"/>
      <c r="DKM2" s="107"/>
      <c r="DKN2" s="107"/>
      <c r="DKO2" s="107"/>
      <c r="DKP2" s="107"/>
      <c r="DKQ2" s="107"/>
      <c r="DKR2" s="107"/>
      <c r="DKS2" s="107"/>
      <c r="DKT2" s="107"/>
      <c r="DKU2" s="107"/>
      <c r="DKV2" s="107"/>
      <c r="DKW2" s="107"/>
      <c r="DKX2" s="107"/>
      <c r="DKY2" s="107"/>
      <c r="DKZ2" s="107"/>
      <c r="DLA2" s="107"/>
      <c r="DLB2" s="107"/>
      <c r="DLC2" s="107"/>
      <c r="DLD2" s="107"/>
      <c r="DLE2" s="107"/>
      <c r="DLF2" s="107"/>
      <c r="DLG2" s="107"/>
      <c r="DLH2" s="107"/>
      <c r="DLI2" s="107"/>
      <c r="DLJ2" s="107"/>
      <c r="DLK2" s="107"/>
      <c r="DLL2" s="107"/>
      <c r="DLM2" s="107"/>
      <c r="DLN2" s="107"/>
      <c r="DLO2" s="107"/>
      <c r="DLP2" s="107"/>
      <c r="DLQ2" s="107"/>
      <c r="DLR2" s="107"/>
      <c r="DLS2" s="107"/>
      <c r="DLT2" s="107"/>
      <c r="DLU2" s="107"/>
      <c r="DLV2" s="107"/>
      <c r="DLW2" s="107"/>
      <c r="DLX2" s="107"/>
      <c r="DLY2" s="107"/>
      <c r="DLZ2" s="107"/>
      <c r="DMA2" s="107"/>
      <c r="DMB2" s="107"/>
      <c r="DMC2" s="107"/>
      <c r="DMD2" s="107"/>
      <c r="DME2" s="107"/>
      <c r="DMF2" s="107"/>
      <c r="DMG2" s="107"/>
      <c r="DMH2" s="107"/>
      <c r="DMI2" s="107"/>
      <c r="DMJ2" s="107"/>
      <c r="DMK2" s="107"/>
      <c r="DML2" s="107"/>
      <c r="DMM2" s="107"/>
      <c r="DMN2" s="107"/>
      <c r="DMO2" s="107"/>
      <c r="DMP2" s="107"/>
      <c r="DMQ2" s="107"/>
      <c r="DMR2" s="107"/>
      <c r="DMS2" s="107"/>
      <c r="DMT2" s="107"/>
      <c r="DMU2" s="107"/>
      <c r="DMV2" s="107"/>
      <c r="DMW2" s="107"/>
      <c r="DMX2" s="107"/>
      <c r="DMY2" s="107"/>
      <c r="DMZ2" s="107"/>
      <c r="DNA2" s="107"/>
      <c r="DNB2" s="107"/>
      <c r="DNC2" s="107"/>
      <c r="DND2" s="107"/>
      <c r="DNE2" s="107"/>
      <c r="DNF2" s="107"/>
      <c r="DNG2" s="107"/>
      <c r="DNH2" s="107"/>
      <c r="DNI2" s="107"/>
      <c r="DNJ2" s="107"/>
      <c r="DNK2" s="107"/>
      <c r="DNL2" s="107"/>
      <c r="DNM2" s="107"/>
      <c r="DNN2" s="107"/>
      <c r="DNO2" s="107"/>
      <c r="DNP2" s="107"/>
      <c r="DNQ2" s="107"/>
      <c r="DNR2" s="107"/>
      <c r="DNS2" s="107"/>
      <c r="DNT2" s="107"/>
      <c r="DNU2" s="107"/>
      <c r="DNV2" s="107"/>
      <c r="DNW2" s="107"/>
      <c r="DNX2" s="107"/>
      <c r="DNY2" s="107"/>
      <c r="DNZ2" s="107"/>
      <c r="DOA2" s="107"/>
      <c r="DOB2" s="107"/>
      <c r="DOC2" s="107"/>
      <c r="DOD2" s="107"/>
      <c r="DOE2" s="107"/>
      <c r="DOF2" s="107"/>
      <c r="DOG2" s="107"/>
      <c r="DOH2" s="107"/>
      <c r="DOI2" s="107"/>
      <c r="DOJ2" s="107"/>
      <c r="DOK2" s="107"/>
      <c r="DOL2" s="107"/>
      <c r="DOM2" s="107"/>
      <c r="DON2" s="107"/>
      <c r="DOO2" s="107"/>
      <c r="DOP2" s="107"/>
      <c r="DOQ2" s="107"/>
      <c r="DOR2" s="107"/>
      <c r="DOS2" s="107"/>
      <c r="DOT2" s="107"/>
      <c r="DOU2" s="107"/>
      <c r="DOV2" s="107"/>
      <c r="DOW2" s="107"/>
      <c r="DOX2" s="107"/>
      <c r="DOY2" s="107"/>
      <c r="DOZ2" s="107"/>
      <c r="DPA2" s="107"/>
      <c r="DPB2" s="107"/>
      <c r="DPC2" s="107"/>
      <c r="DPD2" s="107"/>
      <c r="DPE2" s="107"/>
      <c r="DPF2" s="107"/>
      <c r="DPG2" s="107"/>
      <c r="DPH2" s="107"/>
      <c r="DPI2" s="107"/>
      <c r="DPJ2" s="107"/>
      <c r="DPK2" s="107"/>
      <c r="DPL2" s="107"/>
      <c r="DPM2" s="107"/>
      <c r="DPN2" s="107"/>
      <c r="DPO2" s="107"/>
      <c r="DPP2" s="107"/>
      <c r="DPQ2" s="107"/>
      <c r="DPR2" s="107"/>
      <c r="DPS2" s="107"/>
      <c r="DPT2" s="107"/>
      <c r="DPU2" s="107"/>
      <c r="DPV2" s="107"/>
      <c r="DPW2" s="107"/>
      <c r="DPX2" s="107"/>
      <c r="DPY2" s="107"/>
      <c r="DPZ2" s="107"/>
      <c r="DQA2" s="107"/>
      <c r="DQB2" s="107"/>
      <c r="DQC2" s="107"/>
      <c r="DQD2" s="107"/>
      <c r="DQE2" s="107"/>
      <c r="DQF2" s="107"/>
      <c r="DQG2" s="107"/>
      <c r="DQH2" s="107"/>
      <c r="DQI2" s="107"/>
      <c r="DQJ2" s="107"/>
      <c r="DQK2" s="107"/>
      <c r="DQL2" s="107"/>
      <c r="DQM2" s="107"/>
      <c r="DQN2" s="107"/>
      <c r="DQO2" s="107"/>
      <c r="DQP2" s="107"/>
      <c r="DQQ2" s="107"/>
      <c r="DQR2" s="107"/>
      <c r="DQS2" s="107"/>
      <c r="DQT2" s="107"/>
      <c r="DQU2" s="107"/>
      <c r="DQV2" s="107"/>
      <c r="DQW2" s="107"/>
      <c r="DQX2" s="107"/>
      <c r="DQY2" s="107"/>
      <c r="DQZ2" s="107"/>
      <c r="DRA2" s="107"/>
      <c r="DRB2" s="107"/>
      <c r="DRC2" s="107"/>
      <c r="DRD2" s="107"/>
      <c r="DRE2" s="107"/>
      <c r="DRF2" s="107"/>
      <c r="DRG2" s="107"/>
      <c r="DRH2" s="107"/>
      <c r="DRI2" s="107"/>
      <c r="DRJ2" s="107"/>
      <c r="DRK2" s="107"/>
      <c r="DRL2" s="107"/>
      <c r="DRM2" s="107"/>
      <c r="DRN2" s="107"/>
      <c r="DRO2" s="107"/>
      <c r="DRP2" s="107"/>
      <c r="DRQ2" s="107"/>
      <c r="DRR2" s="107"/>
      <c r="DRS2" s="107"/>
      <c r="DRT2" s="107"/>
      <c r="DRU2" s="107"/>
      <c r="DRV2" s="107"/>
      <c r="DRW2" s="107"/>
      <c r="DRX2" s="107"/>
      <c r="DRY2" s="107"/>
      <c r="DRZ2" s="107"/>
      <c r="DSA2" s="107"/>
      <c r="DSB2" s="107"/>
      <c r="DSC2" s="107"/>
      <c r="DSD2" s="107"/>
      <c r="DSE2" s="107"/>
      <c r="DSF2" s="107"/>
      <c r="DSG2" s="107"/>
      <c r="DSH2" s="107"/>
      <c r="DSI2" s="107"/>
      <c r="DSJ2" s="107"/>
      <c r="DSK2" s="107"/>
      <c r="DSL2" s="107"/>
      <c r="DSM2" s="107"/>
      <c r="DSN2" s="107"/>
      <c r="DSO2" s="107"/>
      <c r="DSP2" s="107"/>
      <c r="DSQ2" s="107"/>
      <c r="DSR2" s="107"/>
      <c r="DSS2" s="107"/>
      <c r="DST2" s="107"/>
      <c r="DSU2" s="107"/>
      <c r="DSV2" s="107"/>
      <c r="DSW2" s="107"/>
      <c r="DSX2" s="107"/>
      <c r="DSY2" s="107"/>
      <c r="DSZ2" s="107"/>
      <c r="DTA2" s="107"/>
      <c r="DTB2" s="107"/>
      <c r="DTC2" s="107"/>
      <c r="DTD2" s="107"/>
      <c r="DTE2" s="107"/>
      <c r="DTF2" s="107"/>
      <c r="DTG2" s="107"/>
      <c r="DTH2" s="107"/>
      <c r="DTI2" s="107"/>
      <c r="DTJ2" s="107"/>
      <c r="DTK2" s="107"/>
      <c r="DTL2" s="107"/>
      <c r="DTM2" s="107"/>
      <c r="DTN2" s="107"/>
      <c r="DTO2" s="107"/>
      <c r="DTP2" s="107"/>
      <c r="DTQ2" s="107"/>
      <c r="DTR2" s="107"/>
      <c r="DTS2" s="107"/>
      <c r="DTT2" s="107"/>
      <c r="DTU2" s="107"/>
      <c r="DTV2" s="107"/>
      <c r="DTW2" s="107"/>
      <c r="DTX2" s="107"/>
      <c r="DTY2" s="107"/>
      <c r="DTZ2" s="107"/>
      <c r="DUA2" s="107"/>
      <c r="DUB2" s="107"/>
      <c r="DUC2" s="107"/>
      <c r="DUD2" s="107"/>
      <c r="DUE2" s="107"/>
      <c r="DUF2" s="107"/>
      <c r="DUG2" s="107"/>
      <c r="DUH2" s="107"/>
      <c r="DUI2" s="107"/>
      <c r="DUJ2" s="107"/>
      <c r="DUK2" s="107"/>
      <c r="DUL2" s="107"/>
      <c r="DUM2" s="107"/>
      <c r="DUN2" s="107"/>
      <c r="DUO2" s="107"/>
      <c r="DUP2" s="107"/>
      <c r="DUQ2" s="107"/>
      <c r="DUR2" s="107"/>
      <c r="DUS2" s="107"/>
      <c r="DUT2" s="107"/>
      <c r="DUU2" s="107"/>
      <c r="DUV2" s="107"/>
      <c r="DUW2" s="107"/>
      <c r="DUX2" s="107"/>
      <c r="DUY2" s="107"/>
      <c r="DUZ2" s="107"/>
      <c r="DVA2" s="107"/>
      <c r="DVB2" s="107"/>
      <c r="DVC2" s="107"/>
      <c r="DVD2" s="107"/>
      <c r="DVE2" s="107"/>
      <c r="DVF2" s="107"/>
      <c r="DVG2" s="107"/>
      <c r="DVH2" s="107"/>
      <c r="DVI2" s="107"/>
      <c r="DVJ2" s="107"/>
      <c r="DVK2" s="107"/>
      <c r="DVL2" s="107"/>
      <c r="DVM2" s="107"/>
      <c r="DVN2" s="107"/>
      <c r="DVO2" s="107"/>
      <c r="DVP2" s="107"/>
      <c r="DVQ2" s="107"/>
      <c r="DVR2" s="107"/>
      <c r="DVS2" s="107"/>
      <c r="DVT2" s="107"/>
      <c r="DVU2" s="107"/>
      <c r="DVV2" s="107"/>
      <c r="DVW2" s="107"/>
      <c r="DVX2" s="107"/>
      <c r="DVY2" s="107"/>
      <c r="DVZ2" s="107"/>
      <c r="DWA2" s="107"/>
      <c r="DWB2" s="107"/>
      <c r="DWC2" s="107"/>
      <c r="DWD2" s="107"/>
      <c r="DWE2" s="107"/>
      <c r="DWF2" s="107"/>
      <c r="DWG2" s="107"/>
      <c r="DWH2" s="107"/>
      <c r="DWI2" s="107"/>
      <c r="DWJ2" s="107"/>
      <c r="DWK2" s="107"/>
      <c r="DWL2" s="107"/>
      <c r="DWM2" s="107"/>
      <c r="DWN2" s="107"/>
      <c r="DWO2" s="107"/>
      <c r="DWP2" s="107"/>
      <c r="DWQ2" s="107"/>
      <c r="DWR2" s="107"/>
      <c r="DWS2" s="107"/>
      <c r="DWT2" s="107"/>
      <c r="DWU2" s="107"/>
      <c r="DWV2" s="107"/>
      <c r="DWW2" s="107"/>
      <c r="DWX2" s="107"/>
      <c r="DWY2" s="107"/>
      <c r="DWZ2" s="107"/>
      <c r="DXA2" s="107"/>
      <c r="DXB2" s="107"/>
      <c r="DXC2" s="107"/>
      <c r="DXD2" s="107"/>
      <c r="DXE2" s="107"/>
      <c r="DXF2" s="107"/>
      <c r="DXG2" s="107"/>
      <c r="DXH2" s="107"/>
      <c r="DXI2" s="107"/>
      <c r="DXJ2" s="107"/>
      <c r="DXK2" s="107"/>
      <c r="DXL2" s="107"/>
      <c r="DXM2" s="107"/>
      <c r="DXN2" s="107"/>
      <c r="DXO2" s="107"/>
      <c r="DXP2" s="107"/>
      <c r="DXQ2" s="107"/>
      <c r="DXR2" s="107"/>
      <c r="DXS2" s="107"/>
      <c r="DXT2" s="107"/>
      <c r="DXU2" s="107"/>
      <c r="DXV2" s="107"/>
      <c r="DXW2" s="107"/>
      <c r="DXX2" s="107"/>
      <c r="DXY2" s="107"/>
      <c r="DXZ2" s="107"/>
      <c r="DYA2" s="107"/>
      <c r="DYB2" s="107"/>
      <c r="DYC2" s="107"/>
      <c r="DYD2" s="107"/>
      <c r="DYE2" s="107"/>
      <c r="DYF2" s="107"/>
      <c r="DYG2" s="107"/>
      <c r="DYH2" s="107"/>
      <c r="DYI2" s="107"/>
      <c r="DYJ2" s="107"/>
      <c r="DYK2" s="107"/>
      <c r="DYL2" s="107"/>
      <c r="DYM2" s="107"/>
      <c r="DYN2" s="107"/>
      <c r="DYO2" s="107"/>
      <c r="DYP2" s="107"/>
      <c r="DYQ2" s="107"/>
      <c r="DYR2" s="107"/>
      <c r="DYS2" s="107"/>
      <c r="DYT2" s="107"/>
      <c r="DYU2" s="107"/>
      <c r="DYV2" s="107"/>
      <c r="DYW2" s="107"/>
      <c r="DYX2" s="107"/>
      <c r="DYY2" s="107"/>
      <c r="DYZ2" s="107"/>
      <c r="DZA2" s="107"/>
      <c r="DZB2" s="107"/>
      <c r="DZC2" s="107"/>
      <c r="DZD2" s="107"/>
      <c r="DZE2" s="107"/>
      <c r="DZF2" s="107"/>
      <c r="DZG2" s="107"/>
      <c r="DZH2" s="107"/>
      <c r="DZI2" s="107"/>
      <c r="DZJ2" s="107"/>
      <c r="DZK2" s="107"/>
      <c r="DZL2" s="107"/>
      <c r="DZM2" s="107"/>
      <c r="DZN2" s="107"/>
      <c r="DZO2" s="107"/>
      <c r="DZP2" s="107"/>
      <c r="DZQ2" s="107"/>
      <c r="DZR2" s="107"/>
      <c r="DZS2" s="107"/>
      <c r="DZT2" s="107"/>
      <c r="DZU2" s="107"/>
      <c r="DZV2" s="107"/>
      <c r="DZW2" s="107"/>
      <c r="DZX2" s="107"/>
      <c r="DZY2" s="107"/>
      <c r="DZZ2" s="107"/>
      <c r="EAA2" s="107"/>
      <c r="EAB2" s="107"/>
      <c r="EAC2" s="107"/>
      <c r="EAD2" s="107"/>
      <c r="EAE2" s="107"/>
      <c r="EAF2" s="107"/>
      <c r="EAG2" s="107"/>
      <c r="EAH2" s="107"/>
      <c r="EAI2" s="107"/>
      <c r="EAJ2" s="107"/>
      <c r="EAK2" s="107"/>
      <c r="EAL2" s="107"/>
      <c r="EAM2" s="107"/>
      <c r="EAN2" s="107"/>
      <c r="EAO2" s="107"/>
      <c r="EAP2" s="107"/>
      <c r="EAQ2" s="107"/>
      <c r="EAR2" s="107"/>
      <c r="EAS2" s="107"/>
      <c r="EAT2" s="107"/>
      <c r="EAU2" s="107"/>
      <c r="EAV2" s="107"/>
      <c r="EAW2" s="107"/>
      <c r="EAX2" s="107"/>
      <c r="EAY2" s="107"/>
      <c r="EAZ2" s="107"/>
      <c r="EBA2" s="107"/>
      <c r="EBB2" s="107"/>
      <c r="EBC2" s="107"/>
      <c r="EBD2" s="107"/>
      <c r="EBE2" s="107"/>
      <c r="EBF2" s="107"/>
      <c r="EBG2" s="107"/>
      <c r="EBH2" s="107"/>
      <c r="EBI2" s="107"/>
      <c r="EBJ2" s="107"/>
      <c r="EBK2" s="107"/>
      <c r="EBL2" s="107"/>
      <c r="EBM2" s="107"/>
      <c r="EBN2" s="107"/>
      <c r="EBO2" s="107"/>
      <c r="EBP2" s="107"/>
      <c r="EBQ2" s="107"/>
      <c r="EBR2" s="107"/>
      <c r="EBS2" s="107"/>
      <c r="EBT2" s="107"/>
      <c r="EBU2" s="107"/>
      <c r="EBV2" s="107"/>
      <c r="EBW2" s="107"/>
      <c r="EBX2" s="107"/>
      <c r="EBY2" s="107"/>
      <c r="EBZ2" s="107"/>
      <c r="ECA2" s="107"/>
      <c r="ECB2" s="107"/>
      <c r="ECC2" s="107"/>
      <c r="ECD2" s="107"/>
      <c r="ECE2" s="107"/>
      <c r="ECF2" s="107"/>
      <c r="ECG2" s="107"/>
      <c r="ECH2" s="107"/>
      <c r="ECI2" s="107"/>
      <c r="ECJ2" s="107"/>
      <c r="ECK2" s="107"/>
      <c r="ECL2" s="107"/>
      <c r="ECM2" s="107"/>
      <c r="ECN2" s="107"/>
      <c r="ECO2" s="107"/>
      <c r="ECP2" s="107"/>
      <c r="ECQ2" s="107"/>
      <c r="ECR2" s="107"/>
      <c r="ECS2" s="107"/>
      <c r="ECT2" s="107"/>
      <c r="ECU2" s="107"/>
      <c r="ECV2" s="107"/>
      <c r="ECW2" s="107"/>
      <c r="ECX2" s="107"/>
      <c r="ECY2" s="107"/>
      <c r="ECZ2" s="107"/>
      <c r="EDA2" s="107"/>
      <c r="EDB2" s="107"/>
      <c r="EDC2" s="107"/>
      <c r="EDD2" s="107"/>
      <c r="EDE2" s="107"/>
      <c r="EDF2" s="107"/>
      <c r="EDG2" s="107"/>
      <c r="EDH2" s="107"/>
      <c r="EDI2" s="107"/>
      <c r="EDJ2" s="107"/>
      <c r="EDK2" s="107"/>
      <c r="EDL2" s="107"/>
      <c r="EDM2" s="107"/>
      <c r="EDN2" s="107"/>
      <c r="EDO2" s="107"/>
      <c r="EDP2" s="107"/>
      <c r="EDQ2" s="107"/>
      <c r="EDR2" s="107"/>
      <c r="EDS2" s="107"/>
      <c r="EDT2" s="107"/>
      <c r="EDU2" s="107"/>
      <c r="EDV2" s="107"/>
      <c r="EDW2" s="107"/>
      <c r="EDX2" s="107"/>
      <c r="EDY2" s="107"/>
      <c r="EDZ2" s="107"/>
      <c r="EEA2" s="107"/>
      <c r="EEB2" s="107"/>
      <c r="EEC2" s="107"/>
      <c r="EED2" s="107"/>
      <c r="EEE2" s="107"/>
      <c r="EEF2" s="107"/>
      <c r="EEG2" s="107"/>
      <c r="EEH2" s="107"/>
      <c r="EEI2" s="107"/>
      <c r="EEJ2" s="107"/>
      <c r="EEK2" s="107"/>
      <c r="EEL2" s="107"/>
      <c r="EEM2" s="107"/>
      <c r="EEN2" s="107"/>
      <c r="EEO2" s="107"/>
      <c r="EEP2" s="107"/>
      <c r="EEQ2" s="107"/>
      <c r="EER2" s="107"/>
      <c r="EES2" s="107"/>
      <c r="EET2" s="107"/>
      <c r="EEU2" s="107"/>
      <c r="EEV2" s="107"/>
      <c r="EEW2" s="107"/>
      <c r="EEX2" s="107"/>
      <c r="EEY2" s="107"/>
      <c r="EEZ2" s="107"/>
      <c r="EFA2" s="107"/>
      <c r="EFB2" s="107"/>
      <c r="EFC2" s="107"/>
      <c r="EFD2" s="107"/>
      <c r="EFE2" s="107"/>
      <c r="EFF2" s="107"/>
      <c r="EFG2" s="107"/>
      <c r="EFH2" s="107"/>
      <c r="EFI2" s="107"/>
      <c r="EFJ2" s="107"/>
      <c r="EFK2" s="107"/>
      <c r="EFL2" s="107"/>
      <c r="EFM2" s="107"/>
      <c r="EFN2" s="107"/>
      <c r="EFO2" s="107"/>
      <c r="EFP2" s="107"/>
      <c r="EFQ2" s="107"/>
      <c r="EFR2" s="107"/>
      <c r="EFS2" s="107"/>
      <c r="EFT2" s="107"/>
      <c r="EFU2" s="107"/>
      <c r="EFV2" s="107"/>
      <c r="EFW2" s="107"/>
      <c r="EFX2" s="107"/>
      <c r="EFY2" s="107"/>
      <c r="EFZ2" s="107"/>
      <c r="EGA2" s="107"/>
      <c r="EGB2" s="107"/>
      <c r="EGC2" s="107"/>
      <c r="EGD2" s="107"/>
      <c r="EGE2" s="107"/>
      <c r="EGF2" s="107"/>
      <c r="EGG2" s="107"/>
      <c r="EGH2" s="107"/>
      <c r="EGI2" s="107"/>
      <c r="EGJ2" s="107"/>
      <c r="EGK2" s="107"/>
      <c r="EGL2" s="107"/>
      <c r="EGM2" s="107"/>
      <c r="EGN2" s="107"/>
      <c r="EGO2" s="107"/>
      <c r="EGP2" s="107"/>
      <c r="EGQ2" s="107"/>
      <c r="EGR2" s="107"/>
      <c r="EGS2" s="107"/>
      <c r="EGT2" s="107"/>
      <c r="EGU2" s="107"/>
      <c r="EGV2" s="107"/>
      <c r="EGW2" s="107"/>
      <c r="EGX2" s="107"/>
      <c r="EGY2" s="107"/>
      <c r="EGZ2" s="107"/>
      <c r="EHA2" s="107"/>
      <c r="EHB2" s="107"/>
      <c r="EHC2" s="107"/>
      <c r="EHD2" s="107"/>
      <c r="EHE2" s="107"/>
      <c r="EHF2" s="107"/>
      <c r="EHG2" s="107"/>
      <c r="EHH2" s="107"/>
      <c r="EHI2" s="107"/>
      <c r="EHJ2" s="107"/>
      <c r="EHK2" s="107"/>
      <c r="EHL2" s="107"/>
      <c r="EHM2" s="107"/>
      <c r="EHN2" s="107"/>
      <c r="EHO2" s="107"/>
      <c r="EHP2" s="107"/>
      <c r="EHQ2" s="107"/>
      <c r="EHR2" s="107"/>
      <c r="EHS2" s="107"/>
      <c r="EHT2" s="107"/>
      <c r="EHU2" s="107"/>
      <c r="EHV2" s="107"/>
      <c r="EHW2" s="107"/>
      <c r="EHX2" s="107"/>
      <c r="EHY2" s="107"/>
      <c r="EHZ2" s="107"/>
      <c r="EIA2" s="107"/>
      <c r="EIB2" s="107"/>
      <c r="EIC2" s="107"/>
      <c r="EID2" s="107"/>
      <c r="EIE2" s="107"/>
      <c r="EIF2" s="107"/>
      <c r="EIG2" s="107"/>
      <c r="EIH2" s="107"/>
      <c r="EII2" s="107"/>
      <c r="EIJ2" s="107"/>
      <c r="EIK2" s="107"/>
      <c r="EIL2" s="107"/>
      <c r="EIM2" s="107"/>
      <c r="EIN2" s="107"/>
      <c r="EIO2" s="107"/>
      <c r="EIP2" s="107"/>
      <c r="EIQ2" s="107"/>
      <c r="EIR2" s="107"/>
      <c r="EIS2" s="107"/>
      <c r="EIT2" s="107"/>
      <c r="EIU2" s="107"/>
      <c r="EIV2" s="107"/>
      <c r="EIW2" s="107"/>
      <c r="EIX2" s="107"/>
      <c r="EIY2" s="107"/>
      <c r="EIZ2" s="107"/>
      <c r="EJA2" s="107"/>
      <c r="EJB2" s="107"/>
      <c r="EJC2" s="107"/>
      <c r="EJD2" s="107"/>
      <c r="EJE2" s="107"/>
      <c r="EJF2" s="107"/>
      <c r="EJG2" s="107"/>
      <c r="EJH2" s="107"/>
      <c r="EJI2" s="107"/>
      <c r="EJJ2" s="107"/>
      <c r="EJK2" s="107"/>
      <c r="EJL2" s="107"/>
      <c r="EJM2" s="107"/>
      <c r="EJN2" s="107"/>
      <c r="EJO2" s="107"/>
      <c r="EJP2" s="107"/>
      <c r="EJQ2" s="107"/>
      <c r="EJR2" s="107"/>
      <c r="EJS2" s="107"/>
      <c r="EJT2" s="107"/>
      <c r="EJU2" s="107"/>
      <c r="EJV2" s="107"/>
      <c r="EJW2" s="107"/>
      <c r="EJX2" s="107"/>
      <c r="EJY2" s="107"/>
      <c r="EJZ2" s="107"/>
      <c r="EKA2" s="107"/>
      <c r="EKB2" s="107"/>
      <c r="EKC2" s="107"/>
      <c r="EKD2" s="107"/>
      <c r="EKE2" s="107"/>
      <c r="EKF2" s="107"/>
      <c r="EKG2" s="107"/>
      <c r="EKH2" s="107"/>
      <c r="EKI2" s="107"/>
      <c r="EKJ2" s="107"/>
      <c r="EKK2" s="107"/>
      <c r="EKL2" s="107"/>
      <c r="EKM2" s="107"/>
      <c r="EKN2" s="107"/>
      <c r="EKO2" s="107"/>
      <c r="EKP2" s="107"/>
      <c r="EKQ2" s="107"/>
      <c r="EKR2" s="107"/>
      <c r="EKS2" s="107"/>
      <c r="EKT2" s="107"/>
      <c r="EKU2" s="107"/>
      <c r="EKV2" s="107"/>
      <c r="EKW2" s="107"/>
      <c r="EKX2" s="107"/>
      <c r="EKY2" s="107"/>
      <c r="EKZ2" s="107"/>
      <c r="ELA2" s="107"/>
      <c r="ELB2" s="107"/>
      <c r="ELC2" s="107"/>
      <c r="ELD2" s="107"/>
      <c r="ELE2" s="107"/>
      <c r="ELF2" s="107"/>
      <c r="ELG2" s="107"/>
      <c r="ELH2" s="107"/>
      <c r="ELI2" s="107"/>
      <c r="ELJ2" s="107"/>
      <c r="ELK2" s="107"/>
      <c r="ELL2" s="107"/>
      <c r="ELM2" s="107"/>
      <c r="ELN2" s="107"/>
      <c r="ELO2" s="107"/>
      <c r="ELP2" s="107"/>
      <c r="ELQ2" s="107"/>
      <c r="ELR2" s="107"/>
      <c r="ELS2" s="107"/>
      <c r="ELT2" s="107"/>
      <c r="ELU2" s="107"/>
      <c r="ELV2" s="107"/>
      <c r="ELW2" s="107"/>
      <c r="ELX2" s="107"/>
      <c r="ELY2" s="107"/>
      <c r="ELZ2" s="107"/>
      <c r="EMA2" s="107"/>
      <c r="EMB2" s="107"/>
      <c r="EMC2" s="107"/>
      <c r="EMD2" s="107"/>
      <c r="EME2" s="107"/>
      <c r="EMF2" s="107"/>
      <c r="EMG2" s="107"/>
      <c r="EMH2" s="107"/>
      <c r="EMI2" s="107"/>
      <c r="EMJ2" s="107"/>
      <c r="EMK2" s="107"/>
      <c r="EML2" s="107"/>
      <c r="EMM2" s="107"/>
      <c r="EMN2" s="107"/>
      <c r="EMO2" s="107"/>
      <c r="EMP2" s="107"/>
      <c r="EMQ2" s="107"/>
      <c r="EMR2" s="107"/>
      <c r="EMS2" s="107"/>
      <c r="EMT2" s="107"/>
      <c r="EMU2" s="107"/>
      <c r="EMV2" s="107"/>
      <c r="EMW2" s="107"/>
      <c r="EMX2" s="107"/>
      <c r="EMY2" s="107"/>
      <c r="EMZ2" s="107"/>
      <c r="ENA2" s="107"/>
      <c r="ENB2" s="107"/>
      <c r="ENC2" s="107"/>
      <c r="END2" s="107"/>
      <c r="ENE2" s="107"/>
      <c r="ENF2" s="107"/>
      <c r="ENG2" s="107"/>
      <c r="ENH2" s="107"/>
      <c r="ENI2" s="107"/>
      <c r="ENJ2" s="107"/>
      <c r="ENK2" s="107"/>
      <c r="ENL2" s="107"/>
      <c r="ENM2" s="107"/>
      <c r="ENN2" s="107"/>
      <c r="ENO2" s="107"/>
      <c r="ENP2" s="107"/>
      <c r="ENQ2" s="107"/>
      <c r="ENR2" s="107"/>
      <c r="ENS2" s="107"/>
      <c r="ENT2" s="107"/>
      <c r="ENU2" s="107"/>
      <c r="ENV2" s="107"/>
      <c r="ENW2" s="107"/>
      <c r="ENX2" s="107"/>
      <c r="ENY2" s="107"/>
      <c r="ENZ2" s="107"/>
      <c r="EOA2" s="107"/>
      <c r="EOB2" s="107"/>
      <c r="EOC2" s="107"/>
      <c r="EOD2" s="107"/>
      <c r="EOE2" s="107"/>
      <c r="EOF2" s="107"/>
      <c r="EOG2" s="107"/>
      <c r="EOH2" s="107"/>
      <c r="EOI2" s="107"/>
      <c r="EOJ2" s="107"/>
      <c r="EOK2" s="107"/>
      <c r="EOL2" s="107"/>
      <c r="EOM2" s="107"/>
      <c r="EON2" s="107"/>
      <c r="EOO2" s="107"/>
      <c r="EOP2" s="107"/>
      <c r="EOQ2" s="107"/>
      <c r="EOR2" s="107"/>
      <c r="EOS2" s="107"/>
      <c r="EOT2" s="107"/>
      <c r="EOU2" s="107"/>
      <c r="EOV2" s="107"/>
      <c r="EOW2" s="107"/>
      <c r="EOX2" s="107"/>
      <c r="EOY2" s="107"/>
      <c r="EOZ2" s="107"/>
      <c r="EPA2" s="107"/>
      <c r="EPB2" s="107"/>
      <c r="EPC2" s="107"/>
      <c r="EPD2" s="107"/>
      <c r="EPE2" s="107"/>
      <c r="EPF2" s="107"/>
      <c r="EPG2" s="107"/>
      <c r="EPH2" s="107"/>
      <c r="EPI2" s="107"/>
      <c r="EPJ2" s="107"/>
      <c r="EPK2" s="107"/>
      <c r="EPL2" s="107"/>
      <c r="EPM2" s="107"/>
      <c r="EPN2" s="107"/>
      <c r="EPO2" s="107"/>
      <c r="EPP2" s="107"/>
      <c r="EPQ2" s="107"/>
      <c r="EPR2" s="107"/>
      <c r="EPS2" s="107"/>
      <c r="EPT2" s="107"/>
      <c r="EPU2" s="107"/>
      <c r="EPV2" s="107"/>
      <c r="EPW2" s="107"/>
      <c r="EPX2" s="107"/>
      <c r="EPY2" s="107"/>
      <c r="EPZ2" s="107"/>
      <c r="EQA2" s="107"/>
      <c r="EQB2" s="107"/>
      <c r="EQC2" s="107"/>
      <c r="EQD2" s="107"/>
      <c r="EQE2" s="107"/>
      <c r="EQF2" s="107"/>
      <c r="EQG2" s="107"/>
      <c r="EQH2" s="107"/>
      <c r="EQI2" s="107"/>
      <c r="EQJ2" s="107"/>
      <c r="EQK2" s="107"/>
      <c r="EQL2" s="107"/>
      <c r="EQM2" s="107"/>
      <c r="EQN2" s="107"/>
      <c r="EQO2" s="107"/>
      <c r="EQP2" s="107"/>
      <c r="EQQ2" s="107"/>
      <c r="EQR2" s="107"/>
      <c r="EQS2" s="107"/>
      <c r="EQT2" s="107"/>
      <c r="EQU2" s="107"/>
      <c r="EQV2" s="107"/>
      <c r="EQW2" s="107"/>
      <c r="EQX2" s="107"/>
      <c r="EQY2" s="107"/>
      <c r="EQZ2" s="107"/>
      <c r="ERA2" s="107"/>
      <c r="ERB2" s="107"/>
      <c r="ERC2" s="107"/>
      <c r="ERD2" s="107"/>
      <c r="ERE2" s="107"/>
      <c r="ERF2" s="107"/>
      <c r="ERG2" s="107"/>
      <c r="ERH2" s="107"/>
      <c r="ERI2" s="107"/>
      <c r="ERJ2" s="107"/>
      <c r="ERK2" s="107"/>
      <c r="ERL2" s="107"/>
      <c r="ERM2" s="107"/>
      <c r="ERN2" s="107"/>
      <c r="ERO2" s="107"/>
      <c r="ERP2" s="107"/>
      <c r="ERQ2" s="107"/>
      <c r="ERR2" s="107"/>
      <c r="ERS2" s="107"/>
      <c r="ERT2" s="107"/>
      <c r="ERU2" s="107"/>
      <c r="ERV2" s="107"/>
      <c r="ERW2" s="107"/>
      <c r="ERX2" s="107"/>
      <c r="ERY2" s="107"/>
      <c r="ERZ2" s="107"/>
      <c r="ESA2" s="107"/>
      <c r="ESB2" s="107"/>
      <c r="ESC2" s="107"/>
      <c r="ESD2" s="107"/>
      <c r="ESE2" s="107"/>
      <c r="ESF2" s="107"/>
      <c r="ESG2" s="107"/>
      <c r="ESH2" s="107"/>
      <c r="ESI2" s="107"/>
      <c r="ESJ2" s="107"/>
      <c r="ESK2" s="107"/>
      <c r="ESL2" s="107"/>
      <c r="ESM2" s="107"/>
      <c r="ESN2" s="107"/>
      <c r="ESO2" s="107"/>
      <c r="ESP2" s="107"/>
      <c r="ESQ2" s="107"/>
      <c r="ESR2" s="107"/>
      <c r="ESS2" s="107"/>
      <c r="EST2" s="107"/>
      <c r="ESU2" s="107"/>
      <c r="ESV2" s="107"/>
      <c r="ESW2" s="107"/>
      <c r="ESX2" s="107"/>
      <c r="ESY2" s="107"/>
      <c r="ESZ2" s="107"/>
      <c r="ETA2" s="107"/>
      <c r="ETB2" s="107"/>
      <c r="ETC2" s="107"/>
      <c r="ETD2" s="107"/>
      <c r="ETE2" s="107"/>
      <c r="ETF2" s="107"/>
      <c r="ETG2" s="107"/>
      <c r="ETH2" s="107"/>
      <c r="ETI2" s="107"/>
      <c r="ETJ2" s="107"/>
      <c r="ETK2" s="107"/>
      <c r="ETL2" s="107"/>
      <c r="ETM2" s="107"/>
      <c r="ETN2" s="107"/>
      <c r="ETO2" s="107"/>
      <c r="ETP2" s="107"/>
      <c r="ETQ2" s="107"/>
      <c r="ETR2" s="107"/>
      <c r="ETS2" s="107"/>
      <c r="ETT2" s="107"/>
      <c r="ETU2" s="107"/>
      <c r="ETV2" s="107"/>
      <c r="ETW2" s="107"/>
      <c r="ETX2" s="107"/>
      <c r="ETY2" s="107"/>
      <c r="ETZ2" s="107"/>
      <c r="EUA2" s="107"/>
      <c r="EUB2" s="107"/>
      <c r="EUC2" s="107"/>
      <c r="EUD2" s="107"/>
      <c r="EUE2" s="107"/>
      <c r="EUF2" s="107"/>
      <c r="EUG2" s="107"/>
      <c r="EUH2" s="107"/>
      <c r="EUI2" s="107"/>
      <c r="EUJ2" s="107"/>
      <c r="EUK2" s="107"/>
      <c r="EUL2" s="107"/>
      <c r="EUM2" s="107"/>
      <c r="EUN2" s="107"/>
      <c r="EUO2" s="107"/>
      <c r="EUP2" s="107"/>
      <c r="EUQ2" s="107"/>
      <c r="EUR2" s="107"/>
      <c r="EUS2" s="107"/>
      <c r="EUT2" s="107"/>
      <c r="EUU2" s="107"/>
      <c r="EUV2" s="107"/>
      <c r="EUW2" s="107"/>
      <c r="EUX2" s="107"/>
      <c r="EUY2" s="107"/>
      <c r="EUZ2" s="107"/>
      <c r="EVA2" s="107"/>
      <c r="EVB2" s="107"/>
      <c r="EVC2" s="107"/>
      <c r="EVD2" s="107"/>
      <c r="EVE2" s="107"/>
      <c r="EVF2" s="107"/>
      <c r="EVG2" s="107"/>
      <c r="EVH2" s="107"/>
      <c r="EVI2" s="107"/>
      <c r="EVJ2" s="107"/>
      <c r="EVK2" s="107"/>
      <c r="EVL2" s="107"/>
      <c r="EVM2" s="107"/>
      <c r="EVN2" s="107"/>
      <c r="EVO2" s="107"/>
      <c r="EVP2" s="107"/>
      <c r="EVQ2" s="107"/>
      <c r="EVR2" s="107"/>
      <c r="EVS2" s="107"/>
      <c r="EVT2" s="107"/>
      <c r="EVU2" s="107"/>
      <c r="EVV2" s="107"/>
      <c r="EVW2" s="107"/>
      <c r="EVX2" s="107"/>
      <c r="EVY2" s="107"/>
      <c r="EVZ2" s="107"/>
      <c r="EWA2" s="107"/>
      <c r="EWB2" s="107"/>
      <c r="EWC2" s="107"/>
      <c r="EWD2" s="107"/>
      <c r="EWE2" s="107"/>
      <c r="EWF2" s="107"/>
      <c r="EWG2" s="107"/>
      <c r="EWH2" s="107"/>
      <c r="EWI2" s="107"/>
      <c r="EWJ2" s="107"/>
      <c r="EWK2" s="107"/>
      <c r="EWL2" s="107"/>
      <c r="EWM2" s="107"/>
      <c r="EWN2" s="107"/>
      <c r="EWO2" s="107"/>
      <c r="EWP2" s="107"/>
      <c r="EWQ2" s="107"/>
      <c r="EWR2" s="107"/>
      <c r="EWS2" s="107"/>
      <c r="EWT2" s="107"/>
      <c r="EWU2" s="107"/>
      <c r="EWV2" s="107"/>
      <c r="EWW2" s="107"/>
      <c r="EWX2" s="107"/>
      <c r="EWY2" s="107"/>
      <c r="EWZ2" s="107"/>
      <c r="EXA2" s="107"/>
      <c r="EXB2" s="107"/>
      <c r="EXC2" s="107"/>
      <c r="EXD2" s="107"/>
      <c r="EXE2" s="107"/>
      <c r="EXF2" s="107"/>
      <c r="EXG2" s="107"/>
      <c r="EXH2" s="107"/>
      <c r="EXI2" s="107"/>
      <c r="EXJ2" s="107"/>
      <c r="EXK2" s="107"/>
      <c r="EXL2" s="107"/>
      <c r="EXM2" s="107"/>
      <c r="EXN2" s="107"/>
      <c r="EXO2" s="107"/>
      <c r="EXP2" s="107"/>
      <c r="EXQ2" s="107"/>
      <c r="EXR2" s="107"/>
      <c r="EXS2" s="107"/>
      <c r="EXT2" s="107"/>
      <c r="EXU2" s="107"/>
      <c r="EXV2" s="107"/>
      <c r="EXW2" s="107"/>
      <c r="EXX2" s="107"/>
      <c r="EXY2" s="107"/>
      <c r="EXZ2" s="107"/>
      <c r="EYA2" s="107"/>
      <c r="EYB2" s="107"/>
      <c r="EYC2" s="107"/>
      <c r="EYD2" s="107"/>
      <c r="EYE2" s="107"/>
      <c r="EYF2" s="107"/>
      <c r="EYG2" s="107"/>
      <c r="EYH2" s="107"/>
      <c r="EYI2" s="107"/>
      <c r="EYJ2" s="107"/>
      <c r="EYK2" s="107"/>
      <c r="EYL2" s="107"/>
      <c r="EYM2" s="107"/>
      <c r="EYN2" s="107"/>
      <c r="EYO2" s="107"/>
      <c r="EYP2" s="107"/>
      <c r="EYQ2" s="107"/>
      <c r="EYR2" s="107"/>
      <c r="EYS2" s="107"/>
      <c r="EYT2" s="107"/>
      <c r="EYU2" s="107"/>
      <c r="EYV2" s="107"/>
      <c r="EYW2" s="107"/>
      <c r="EYX2" s="107"/>
      <c r="EYY2" s="107"/>
      <c r="EYZ2" s="107"/>
      <c r="EZA2" s="107"/>
      <c r="EZB2" s="107"/>
      <c r="EZC2" s="107"/>
      <c r="EZD2" s="107"/>
      <c r="EZE2" s="107"/>
      <c r="EZF2" s="107"/>
      <c r="EZG2" s="107"/>
      <c r="EZH2" s="107"/>
      <c r="EZI2" s="107"/>
      <c r="EZJ2" s="107"/>
      <c r="EZK2" s="107"/>
      <c r="EZL2" s="107"/>
      <c r="EZM2" s="107"/>
      <c r="EZN2" s="107"/>
      <c r="EZO2" s="107"/>
      <c r="EZP2" s="107"/>
      <c r="EZQ2" s="107"/>
      <c r="EZR2" s="107"/>
      <c r="EZS2" s="107"/>
      <c r="EZT2" s="107"/>
      <c r="EZU2" s="107"/>
      <c r="EZV2" s="107"/>
      <c r="EZW2" s="107"/>
      <c r="EZX2" s="107"/>
      <c r="EZY2" s="107"/>
      <c r="EZZ2" s="107"/>
      <c r="FAA2" s="107"/>
      <c r="FAB2" s="107"/>
      <c r="FAC2" s="107"/>
      <c r="FAD2" s="107"/>
      <c r="FAE2" s="107"/>
      <c r="FAF2" s="107"/>
      <c r="FAG2" s="107"/>
      <c r="FAH2" s="107"/>
      <c r="FAI2" s="107"/>
      <c r="FAJ2" s="107"/>
      <c r="FAK2" s="107"/>
      <c r="FAL2" s="107"/>
      <c r="FAM2" s="107"/>
      <c r="FAN2" s="107"/>
      <c r="FAO2" s="107"/>
      <c r="FAP2" s="107"/>
      <c r="FAQ2" s="107"/>
      <c r="FAR2" s="107"/>
      <c r="FAS2" s="107"/>
      <c r="FAT2" s="107"/>
      <c r="FAU2" s="107"/>
      <c r="FAV2" s="107"/>
      <c r="FAW2" s="107"/>
      <c r="FAX2" s="107"/>
      <c r="FAY2" s="107"/>
      <c r="FAZ2" s="107"/>
      <c r="FBA2" s="107"/>
      <c r="FBB2" s="107"/>
      <c r="FBC2" s="107"/>
      <c r="FBD2" s="107"/>
      <c r="FBE2" s="107"/>
      <c r="FBF2" s="107"/>
      <c r="FBG2" s="107"/>
      <c r="FBH2" s="107"/>
      <c r="FBI2" s="107"/>
      <c r="FBJ2" s="107"/>
      <c r="FBK2" s="107"/>
      <c r="FBL2" s="107"/>
      <c r="FBM2" s="107"/>
      <c r="FBN2" s="107"/>
      <c r="FBO2" s="107"/>
      <c r="FBP2" s="107"/>
      <c r="FBQ2" s="107"/>
      <c r="FBR2" s="107"/>
      <c r="FBS2" s="107"/>
      <c r="FBT2" s="107"/>
      <c r="FBU2" s="107"/>
      <c r="FBV2" s="107"/>
      <c r="FBW2" s="107"/>
      <c r="FBX2" s="107"/>
      <c r="FBY2" s="107"/>
      <c r="FBZ2" s="107"/>
      <c r="FCA2" s="107"/>
      <c r="FCB2" s="107"/>
      <c r="FCC2" s="107"/>
      <c r="FCD2" s="107"/>
      <c r="FCE2" s="107"/>
      <c r="FCF2" s="107"/>
      <c r="FCG2" s="107"/>
      <c r="FCH2" s="107"/>
      <c r="FCI2" s="107"/>
      <c r="FCJ2" s="107"/>
      <c r="FCK2" s="107"/>
      <c r="FCL2" s="107"/>
      <c r="FCM2" s="107"/>
      <c r="FCN2" s="107"/>
      <c r="FCO2" s="107"/>
      <c r="FCP2" s="107"/>
      <c r="FCQ2" s="107"/>
      <c r="FCR2" s="107"/>
      <c r="FCS2" s="107"/>
      <c r="FCT2" s="107"/>
      <c r="FCU2" s="107"/>
      <c r="FCV2" s="107"/>
      <c r="FCW2" s="107"/>
      <c r="FCX2" s="107"/>
      <c r="FCY2" s="107"/>
      <c r="FCZ2" s="107"/>
      <c r="FDA2" s="107"/>
      <c r="FDB2" s="107"/>
      <c r="FDC2" s="107"/>
      <c r="FDD2" s="107"/>
      <c r="FDE2" s="107"/>
      <c r="FDF2" s="107"/>
      <c r="FDG2" s="107"/>
      <c r="FDH2" s="107"/>
      <c r="FDI2" s="107"/>
      <c r="FDJ2" s="107"/>
      <c r="FDK2" s="107"/>
      <c r="FDL2" s="107"/>
      <c r="FDM2" s="107"/>
      <c r="FDN2" s="107"/>
      <c r="FDO2" s="107"/>
      <c r="FDP2" s="107"/>
      <c r="FDQ2" s="107"/>
      <c r="FDR2" s="107"/>
      <c r="FDS2" s="107"/>
      <c r="FDT2" s="107"/>
      <c r="FDU2" s="107"/>
      <c r="FDV2" s="107"/>
      <c r="FDW2" s="107"/>
      <c r="FDX2" s="107"/>
      <c r="FDY2" s="107"/>
      <c r="FDZ2" s="107"/>
      <c r="FEA2" s="107"/>
      <c r="FEB2" s="107"/>
      <c r="FEC2" s="107"/>
      <c r="FED2" s="107"/>
      <c r="FEE2" s="107"/>
      <c r="FEF2" s="107"/>
      <c r="FEG2" s="107"/>
      <c r="FEH2" s="107"/>
      <c r="FEI2" s="107"/>
      <c r="FEJ2" s="107"/>
      <c r="FEK2" s="107"/>
      <c r="FEL2" s="107"/>
      <c r="FEM2" s="107"/>
      <c r="FEN2" s="107"/>
      <c r="FEO2" s="107"/>
      <c r="FEP2" s="107"/>
      <c r="FEQ2" s="107"/>
      <c r="FER2" s="107"/>
      <c r="FES2" s="107"/>
      <c r="FET2" s="107"/>
      <c r="FEU2" s="107"/>
      <c r="FEV2" s="107"/>
      <c r="FEW2" s="107"/>
      <c r="FEX2" s="107"/>
      <c r="FEY2" s="107"/>
      <c r="FEZ2" s="107"/>
      <c r="FFA2" s="107"/>
      <c r="FFB2" s="107"/>
      <c r="FFC2" s="107"/>
      <c r="FFD2" s="107"/>
      <c r="FFE2" s="107"/>
      <c r="FFF2" s="107"/>
      <c r="FFG2" s="107"/>
      <c r="FFH2" s="107"/>
      <c r="FFI2" s="107"/>
      <c r="FFJ2" s="107"/>
      <c r="FFK2" s="107"/>
      <c r="FFL2" s="107"/>
      <c r="FFM2" s="107"/>
      <c r="FFN2" s="107"/>
      <c r="FFO2" s="107"/>
      <c r="FFP2" s="107"/>
      <c r="FFQ2" s="107"/>
      <c r="FFR2" s="107"/>
      <c r="FFS2" s="107"/>
      <c r="FFT2" s="107"/>
      <c r="FFU2" s="107"/>
      <c r="FFV2" s="107"/>
      <c r="FFW2" s="107"/>
      <c r="FFX2" s="107"/>
      <c r="FFY2" s="107"/>
      <c r="FFZ2" s="107"/>
      <c r="FGA2" s="107"/>
      <c r="FGB2" s="107"/>
      <c r="FGC2" s="107"/>
      <c r="FGD2" s="107"/>
      <c r="FGE2" s="107"/>
      <c r="FGF2" s="107"/>
      <c r="FGG2" s="107"/>
      <c r="FGH2" s="107"/>
      <c r="FGI2" s="107"/>
      <c r="FGJ2" s="107"/>
      <c r="FGK2" s="107"/>
      <c r="FGL2" s="107"/>
      <c r="FGM2" s="107"/>
      <c r="FGN2" s="107"/>
      <c r="FGO2" s="107"/>
      <c r="FGP2" s="107"/>
      <c r="FGQ2" s="107"/>
      <c r="FGR2" s="107"/>
      <c r="FGS2" s="107"/>
      <c r="FGT2" s="107"/>
      <c r="FGU2" s="107"/>
      <c r="FGV2" s="107"/>
      <c r="FGW2" s="107"/>
      <c r="FGX2" s="107"/>
      <c r="FGY2" s="107"/>
      <c r="FGZ2" s="107"/>
      <c r="FHA2" s="107"/>
      <c r="FHB2" s="107"/>
      <c r="FHC2" s="107"/>
      <c r="FHD2" s="107"/>
      <c r="FHE2" s="107"/>
      <c r="FHF2" s="107"/>
      <c r="FHG2" s="107"/>
      <c r="FHH2" s="107"/>
      <c r="FHI2" s="107"/>
      <c r="FHJ2" s="107"/>
      <c r="FHK2" s="107"/>
      <c r="FHL2" s="107"/>
      <c r="FHM2" s="107"/>
      <c r="FHN2" s="107"/>
      <c r="FHO2" s="107"/>
      <c r="FHP2" s="107"/>
      <c r="FHQ2" s="107"/>
      <c r="FHR2" s="107"/>
      <c r="FHS2" s="107"/>
      <c r="FHT2" s="107"/>
      <c r="FHU2" s="107"/>
      <c r="FHV2" s="107"/>
      <c r="FHW2" s="107"/>
      <c r="FHX2" s="107"/>
      <c r="FHY2" s="107"/>
      <c r="FHZ2" s="107"/>
      <c r="FIA2" s="107"/>
      <c r="FIB2" s="107"/>
      <c r="FIC2" s="107"/>
      <c r="FID2" s="107"/>
      <c r="FIE2" s="107"/>
      <c r="FIF2" s="107"/>
      <c r="FIG2" s="107"/>
      <c r="FIH2" s="107"/>
      <c r="FII2" s="107"/>
      <c r="FIJ2" s="107"/>
      <c r="FIK2" s="107"/>
      <c r="FIL2" s="107"/>
      <c r="FIM2" s="107"/>
      <c r="FIN2" s="107"/>
      <c r="FIO2" s="107"/>
      <c r="FIP2" s="107"/>
      <c r="FIQ2" s="107"/>
      <c r="FIR2" s="107"/>
      <c r="FIS2" s="107"/>
      <c r="FIT2" s="107"/>
      <c r="FIU2" s="107"/>
      <c r="FIV2" s="107"/>
      <c r="FIW2" s="107"/>
      <c r="FIX2" s="107"/>
      <c r="FIY2" s="107"/>
      <c r="FIZ2" s="107"/>
      <c r="FJA2" s="107"/>
      <c r="FJB2" s="107"/>
      <c r="FJC2" s="107"/>
      <c r="FJD2" s="107"/>
      <c r="FJE2" s="107"/>
      <c r="FJF2" s="107"/>
      <c r="FJG2" s="107"/>
      <c r="FJH2" s="107"/>
      <c r="FJI2" s="107"/>
      <c r="FJJ2" s="107"/>
      <c r="FJK2" s="107"/>
      <c r="FJL2" s="107"/>
      <c r="FJM2" s="107"/>
      <c r="FJN2" s="107"/>
      <c r="FJO2" s="107"/>
      <c r="FJP2" s="107"/>
      <c r="FJQ2" s="107"/>
      <c r="FJR2" s="107"/>
      <c r="FJS2" s="107"/>
      <c r="FJT2" s="107"/>
      <c r="FJU2" s="107"/>
      <c r="FJV2" s="107"/>
      <c r="FJW2" s="107"/>
      <c r="FJX2" s="107"/>
      <c r="FJY2" s="107"/>
      <c r="FJZ2" s="107"/>
      <c r="FKA2" s="107"/>
      <c r="FKB2" s="107"/>
      <c r="FKC2" s="107"/>
      <c r="FKD2" s="107"/>
      <c r="FKE2" s="107"/>
      <c r="FKF2" s="107"/>
      <c r="FKG2" s="107"/>
      <c r="FKH2" s="107"/>
      <c r="FKI2" s="107"/>
      <c r="FKJ2" s="107"/>
      <c r="FKK2" s="107"/>
      <c r="FKL2" s="107"/>
      <c r="FKM2" s="107"/>
      <c r="FKN2" s="107"/>
      <c r="FKO2" s="107"/>
      <c r="FKP2" s="107"/>
      <c r="FKQ2" s="107"/>
      <c r="FKR2" s="107"/>
      <c r="FKS2" s="107"/>
      <c r="FKT2" s="107"/>
      <c r="FKU2" s="107"/>
      <c r="FKV2" s="107"/>
      <c r="FKW2" s="107"/>
      <c r="FKX2" s="107"/>
      <c r="FKY2" s="107"/>
      <c r="FKZ2" s="107"/>
      <c r="FLA2" s="107"/>
      <c r="FLB2" s="107"/>
      <c r="FLC2" s="107"/>
      <c r="FLD2" s="107"/>
      <c r="FLE2" s="107"/>
      <c r="FLF2" s="107"/>
      <c r="FLG2" s="107"/>
      <c r="FLH2" s="107"/>
      <c r="FLI2" s="107"/>
      <c r="FLJ2" s="107"/>
      <c r="FLK2" s="107"/>
      <c r="FLL2" s="107"/>
      <c r="FLM2" s="107"/>
      <c r="FLN2" s="107"/>
      <c r="FLO2" s="107"/>
      <c r="FLP2" s="107"/>
      <c r="FLQ2" s="107"/>
      <c r="FLR2" s="107"/>
      <c r="FLS2" s="107"/>
      <c r="FLT2" s="107"/>
      <c r="FLU2" s="107"/>
      <c r="FLV2" s="107"/>
      <c r="FLW2" s="107"/>
      <c r="FLX2" s="107"/>
      <c r="FLY2" s="107"/>
      <c r="FLZ2" s="107"/>
      <c r="FMA2" s="107"/>
      <c r="FMB2" s="107"/>
      <c r="FMC2" s="107"/>
      <c r="FMD2" s="107"/>
      <c r="FME2" s="107"/>
      <c r="FMF2" s="107"/>
      <c r="FMG2" s="107"/>
      <c r="FMH2" s="107"/>
      <c r="FMI2" s="107"/>
      <c r="FMJ2" s="107"/>
      <c r="FMK2" s="107"/>
      <c r="FML2" s="107"/>
      <c r="FMM2" s="107"/>
      <c r="FMN2" s="107"/>
      <c r="FMO2" s="107"/>
      <c r="FMP2" s="107"/>
      <c r="FMQ2" s="107"/>
      <c r="FMR2" s="107"/>
      <c r="FMS2" s="107"/>
      <c r="FMT2" s="107"/>
      <c r="FMU2" s="107"/>
      <c r="FMV2" s="107"/>
      <c r="FMW2" s="107"/>
      <c r="FMX2" s="107"/>
      <c r="FMY2" s="107"/>
      <c r="FMZ2" s="107"/>
      <c r="FNA2" s="107"/>
      <c r="FNB2" s="107"/>
      <c r="FNC2" s="107"/>
      <c r="FND2" s="107"/>
      <c r="FNE2" s="107"/>
      <c r="FNF2" s="107"/>
      <c r="FNG2" s="107"/>
      <c r="FNH2" s="107"/>
      <c r="FNI2" s="107"/>
      <c r="FNJ2" s="107"/>
      <c r="FNK2" s="107"/>
      <c r="FNL2" s="107"/>
      <c r="FNM2" s="107"/>
      <c r="FNN2" s="107"/>
      <c r="FNO2" s="107"/>
      <c r="FNP2" s="107"/>
      <c r="FNQ2" s="107"/>
      <c r="FNR2" s="107"/>
      <c r="FNS2" s="107"/>
      <c r="FNT2" s="107"/>
      <c r="FNU2" s="107"/>
      <c r="FNV2" s="107"/>
      <c r="FNW2" s="107"/>
      <c r="FNX2" s="107"/>
      <c r="FNY2" s="107"/>
      <c r="FNZ2" s="107"/>
      <c r="FOA2" s="107"/>
      <c r="FOB2" s="107"/>
      <c r="FOC2" s="107"/>
      <c r="FOD2" s="107"/>
      <c r="FOE2" s="107"/>
      <c r="FOF2" s="107"/>
      <c r="FOG2" s="107"/>
      <c r="FOH2" s="107"/>
      <c r="FOI2" s="107"/>
      <c r="FOJ2" s="107"/>
      <c r="FOK2" s="107"/>
      <c r="FOL2" s="107"/>
      <c r="FOM2" s="107"/>
      <c r="FON2" s="107"/>
      <c r="FOO2" s="107"/>
      <c r="FOP2" s="107"/>
      <c r="FOQ2" s="107"/>
      <c r="FOR2" s="107"/>
      <c r="FOS2" s="107"/>
      <c r="FOT2" s="107"/>
      <c r="FOU2" s="107"/>
      <c r="FOV2" s="107"/>
      <c r="FOW2" s="107"/>
      <c r="FOX2" s="107"/>
      <c r="FOY2" s="107"/>
      <c r="FOZ2" s="107"/>
      <c r="FPA2" s="107"/>
      <c r="FPB2" s="107"/>
      <c r="FPC2" s="107"/>
      <c r="FPD2" s="107"/>
      <c r="FPE2" s="107"/>
      <c r="FPF2" s="107"/>
      <c r="FPG2" s="107"/>
      <c r="FPH2" s="107"/>
      <c r="FPI2" s="107"/>
      <c r="FPJ2" s="107"/>
      <c r="FPK2" s="107"/>
      <c r="FPL2" s="107"/>
      <c r="FPM2" s="107"/>
      <c r="FPN2" s="107"/>
      <c r="FPO2" s="107"/>
      <c r="FPP2" s="107"/>
      <c r="FPQ2" s="107"/>
      <c r="FPR2" s="107"/>
      <c r="FPS2" s="107"/>
      <c r="FPT2" s="107"/>
      <c r="FPU2" s="107"/>
      <c r="FPV2" s="107"/>
      <c r="FPW2" s="107"/>
      <c r="FPX2" s="107"/>
      <c r="FPY2" s="107"/>
      <c r="FPZ2" s="107"/>
      <c r="FQA2" s="107"/>
      <c r="FQB2" s="107"/>
      <c r="FQC2" s="107"/>
      <c r="FQD2" s="107"/>
      <c r="FQE2" s="107"/>
      <c r="FQF2" s="107"/>
      <c r="FQG2" s="107"/>
      <c r="FQH2" s="107"/>
      <c r="FQI2" s="107"/>
      <c r="FQJ2" s="107"/>
      <c r="FQK2" s="107"/>
      <c r="FQL2" s="107"/>
      <c r="FQM2" s="107"/>
      <c r="FQN2" s="107"/>
      <c r="FQO2" s="107"/>
      <c r="FQP2" s="107"/>
      <c r="FQQ2" s="107"/>
      <c r="FQR2" s="107"/>
      <c r="FQS2" s="107"/>
      <c r="FQT2" s="107"/>
      <c r="FQU2" s="107"/>
      <c r="FQV2" s="107"/>
      <c r="FQW2" s="107"/>
      <c r="FQX2" s="107"/>
      <c r="FQY2" s="107"/>
      <c r="FQZ2" s="107"/>
      <c r="FRA2" s="107"/>
      <c r="FRB2" s="107"/>
      <c r="FRC2" s="107"/>
      <c r="FRD2" s="107"/>
      <c r="FRE2" s="107"/>
      <c r="FRF2" s="107"/>
      <c r="FRG2" s="107"/>
      <c r="FRH2" s="107"/>
      <c r="FRI2" s="107"/>
      <c r="FRJ2" s="107"/>
      <c r="FRK2" s="107"/>
      <c r="FRL2" s="107"/>
      <c r="FRM2" s="107"/>
      <c r="FRN2" s="107"/>
      <c r="FRO2" s="107"/>
      <c r="FRP2" s="107"/>
      <c r="FRQ2" s="107"/>
      <c r="FRR2" s="107"/>
      <c r="FRS2" s="107"/>
      <c r="FRT2" s="107"/>
      <c r="FRU2" s="107"/>
      <c r="FRV2" s="107"/>
      <c r="FRW2" s="107"/>
      <c r="FRX2" s="107"/>
      <c r="FRY2" s="107"/>
      <c r="FRZ2" s="107"/>
      <c r="FSA2" s="107"/>
      <c r="FSB2" s="107"/>
      <c r="FSC2" s="107"/>
      <c r="FSD2" s="107"/>
      <c r="FSE2" s="107"/>
      <c r="FSF2" s="107"/>
      <c r="FSG2" s="107"/>
      <c r="FSH2" s="107"/>
      <c r="FSI2" s="107"/>
      <c r="FSJ2" s="107"/>
      <c r="FSK2" s="107"/>
      <c r="FSL2" s="107"/>
      <c r="FSM2" s="107"/>
      <c r="FSN2" s="107"/>
      <c r="FSO2" s="107"/>
      <c r="FSP2" s="107"/>
      <c r="FSQ2" s="107"/>
      <c r="FSR2" s="107"/>
      <c r="FSS2" s="107"/>
      <c r="FST2" s="107"/>
      <c r="FSU2" s="107"/>
      <c r="FSV2" s="107"/>
      <c r="FSW2" s="107"/>
      <c r="FSX2" s="107"/>
      <c r="FSY2" s="107"/>
      <c r="FSZ2" s="107"/>
      <c r="FTA2" s="107"/>
      <c r="FTB2" s="107"/>
      <c r="FTC2" s="107"/>
      <c r="FTD2" s="107"/>
      <c r="FTE2" s="107"/>
      <c r="FTF2" s="107"/>
      <c r="FTG2" s="107"/>
      <c r="FTH2" s="107"/>
      <c r="FTI2" s="107"/>
      <c r="FTJ2" s="107"/>
      <c r="FTK2" s="107"/>
      <c r="FTL2" s="107"/>
      <c r="FTM2" s="107"/>
      <c r="FTN2" s="107"/>
      <c r="FTO2" s="107"/>
      <c r="FTP2" s="107"/>
      <c r="FTQ2" s="107"/>
      <c r="FTR2" s="107"/>
      <c r="FTS2" s="107"/>
      <c r="FTT2" s="107"/>
      <c r="FTU2" s="107"/>
      <c r="FTV2" s="107"/>
      <c r="FTW2" s="107"/>
      <c r="FTX2" s="107"/>
      <c r="FTY2" s="107"/>
      <c r="FTZ2" s="107"/>
      <c r="FUA2" s="107"/>
      <c r="FUB2" s="107"/>
      <c r="FUC2" s="107"/>
      <c r="FUD2" s="107"/>
      <c r="FUE2" s="107"/>
      <c r="FUF2" s="107"/>
      <c r="FUG2" s="107"/>
      <c r="FUH2" s="107"/>
      <c r="FUI2" s="107"/>
      <c r="FUJ2" s="107"/>
      <c r="FUK2" s="107"/>
      <c r="FUL2" s="107"/>
      <c r="FUM2" s="107"/>
      <c r="FUN2" s="107"/>
      <c r="FUO2" s="107"/>
      <c r="FUP2" s="107"/>
      <c r="FUQ2" s="107"/>
      <c r="FUR2" s="107"/>
      <c r="FUS2" s="107"/>
      <c r="FUT2" s="107"/>
      <c r="FUU2" s="107"/>
      <c r="FUV2" s="107"/>
      <c r="FUW2" s="107"/>
      <c r="FUX2" s="107"/>
      <c r="FUY2" s="107"/>
      <c r="FUZ2" s="107"/>
      <c r="FVA2" s="107"/>
      <c r="FVB2" s="107"/>
      <c r="FVC2" s="107"/>
      <c r="FVD2" s="107"/>
      <c r="FVE2" s="107"/>
      <c r="FVF2" s="107"/>
      <c r="FVG2" s="107"/>
      <c r="FVH2" s="107"/>
      <c r="FVI2" s="107"/>
      <c r="FVJ2" s="107"/>
      <c r="FVK2" s="107"/>
      <c r="FVL2" s="107"/>
      <c r="FVM2" s="107"/>
      <c r="FVN2" s="107"/>
      <c r="FVO2" s="107"/>
      <c r="FVP2" s="107"/>
      <c r="FVQ2" s="107"/>
      <c r="FVR2" s="107"/>
      <c r="FVS2" s="107"/>
      <c r="FVT2" s="107"/>
      <c r="FVU2" s="107"/>
      <c r="FVV2" s="107"/>
      <c r="FVW2" s="107"/>
      <c r="FVX2" s="107"/>
      <c r="FVY2" s="107"/>
      <c r="FVZ2" s="107"/>
      <c r="FWA2" s="107"/>
      <c r="FWB2" s="107"/>
      <c r="FWC2" s="107"/>
      <c r="FWD2" s="107"/>
      <c r="FWE2" s="107"/>
      <c r="FWF2" s="107"/>
      <c r="FWG2" s="107"/>
      <c r="FWH2" s="107"/>
      <c r="FWI2" s="107"/>
      <c r="FWJ2" s="107"/>
      <c r="FWK2" s="107"/>
      <c r="FWL2" s="107"/>
      <c r="FWM2" s="107"/>
      <c r="FWN2" s="107"/>
      <c r="FWO2" s="107"/>
      <c r="FWP2" s="107"/>
      <c r="FWQ2" s="107"/>
      <c r="FWR2" s="107"/>
      <c r="FWS2" s="107"/>
      <c r="FWT2" s="107"/>
      <c r="FWU2" s="107"/>
      <c r="FWV2" s="107"/>
      <c r="FWW2" s="107"/>
      <c r="FWX2" s="107"/>
      <c r="FWY2" s="107"/>
      <c r="FWZ2" s="107"/>
      <c r="FXA2" s="107"/>
      <c r="FXB2" s="107"/>
      <c r="FXC2" s="107"/>
      <c r="FXD2" s="107"/>
      <c r="FXE2" s="107"/>
      <c r="FXF2" s="107"/>
      <c r="FXG2" s="107"/>
      <c r="FXH2" s="107"/>
      <c r="FXI2" s="107"/>
      <c r="FXJ2" s="107"/>
      <c r="FXK2" s="107"/>
      <c r="FXL2" s="107"/>
      <c r="FXM2" s="107"/>
      <c r="FXN2" s="107"/>
      <c r="FXO2" s="107"/>
      <c r="FXP2" s="107"/>
      <c r="FXQ2" s="107"/>
      <c r="FXR2" s="107"/>
      <c r="FXS2" s="107"/>
      <c r="FXT2" s="107"/>
      <c r="FXU2" s="107"/>
      <c r="FXV2" s="107"/>
      <c r="FXW2" s="107"/>
      <c r="FXX2" s="107"/>
      <c r="FXY2" s="107"/>
      <c r="FXZ2" s="107"/>
      <c r="FYA2" s="107"/>
      <c r="FYB2" s="107"/>
      <c r="FYC2" s="107"/>
      <c r="FYD2" s="107"/>
      <c r="FYE2" s="107"/>
      <c r="FYF2" s="107"/>
      <c r="FYG2" s="107"/>
      <c r="FYH2" s="107"/>
      <c r="FYI2" s="107"/>
      <c r="FYJ2" s="107"/>
      <c r="FYK2" s="107"/>
      <c r="FYL2" s="107"/>
      <c r="FYM2" s="107"/>
      <c r="FYN2" s="107"/>
      <c r="FYO2" s="107"/>
      <c r="FYP2" s="107"/>
      <c r="FYQ2" s="107"/>
      <c r="FYR2" s="107"/>
      <c r="FYS2" s="107"/>
      <c r="FYT2" s="107"/>
      <c r="FYU2" s="107"/>
      <c r="FYV2" s="107"/>
      <c r="FYW2" s="107"/>
      <c r="FYX2" s="107"/>
      <c r="FYY2" s="107"/>
      <c r="FYZ2" s="107"/>
      <c r="FZA2" s="107"/>
      <c r="FZB2" s="107"/>
      <c r="FZC2" s="107"/>
      <c r="FZD2" s="107"/>
      <c r="FZE2" s="107"/>
      <c r="FZF2" s="107"/>
      <c r="FZG2" s="107"/>
      <c r="FZH2" s="107"/>
      <c r="FZI2" s="107"/>
      <c r="FZJ2" s="107"/>
      <c r="FZK2" s="107"/>
      <c r="FZL2" s="107"/>
      <c r="FZM2" s="107"/>
      <c r="FZN2" s="107"/>
      <c r="FZO2" s="107"/>
      <c r="FZP2" s="107"/>
      <c r="FZQ2" s="107"/>
      <c r="FZR2" s="107"/>
      <c r="FZS2" s="107"/>
      <c r="FZT2" s="107"/>
      <c r="FZU2" s="107"/>
      <c r="FZV2" s="107"/>
      <c r="FZW2" s="107"/>
      <c r="FZX2" s="107"/>
      <c r="FZY2" s="107"/>
      <c r="FZZ2" s="107"/>
      <c r="GAA2" s="107"/>
      <c r="GAB2" s="107"/>
      <c r="GAC2" s="107"/>
      <c r="GAD2" s="107"/>
      <c r="GAE2" s="107"/>
      <c r="GAF2" s="107"/>
      <c r="GAG2" s="107"/>
      <c r="GAH2" s="107"/>
      <c r="GAI2" s="107"/>
      <c r="GAJ2" s="107"/>
      <c r="GAK2" s="107"/>
      <c r="GAL2" s="107"/>
      <c r="GAM2" s="107"/>
      <c r="GAN2" s="107"/>
      <c r="GAO2" s="107"/>
      <c r="GAP2" s="107"/>
      <c r="GAQ2" s="107"/>
      <c r="GAR2" s="107"/>
      <c r="GAS2" s="107"/>
      <c r="GAT2" s="107"/>
      <c r="GAU2" s="107"/>
      <c r="GAV2" s="107"/>
      <c r="GAW2" s="107"/>
      <c r="GAX2" s="107"/>
      <c r="GAY2" s="107"/>
      <c r="GAZ2" s="107"/>
      <c r="GBA2" s="107"/>
      <c r="GBB2" s="107"/>
      <c r="GBC2" s="107"/>
      <c r="GBD2" s="107"/>
      <c r="GBE2" s="107"/>
      <c r="GBF2" s="107"/>
      <c r="GBG2" s="107"/>
      <c r="GBH2" s="107"/>
      <c r="GBI2" s="107"/>
      <c r="GBJ2" s="107"/>
      <c r="GBK2" s="107"/>
      <c r="GBL2" s="107"/>
      <c r="GBM2" s="107"/>
      <c r="GBN2" s="107"/>
      <c r="GBO2" s="107"/>
      <c r="GBP2" s="107"/>
      <c r="GBQ2" s="107"/>
      <c r="GBR2" s="107"/>
      <c r="GBS2" s="107"/>
      <c r="GBT2" s="107"/>
      <c r="GBU2" s="107"/>
      <c r="GBV2" s="107"/>
      <c r="GBW2" s="107"/>
      <c r="GBX2" s="107"/>
      <c r="GBY2" s="107"/>
      <c r="GBZ2" s="107"/>
      <c r="GCA2" s="107"/>
      <c r="GCB2" s="107"/>
      <c r="GCC2" s="107"/>
      <c r="GCD2" s="107"/>
      <c r="GCE2" s="107"/>
      <c r="GCF2" s="107"/>
      <c r="GCG2" s="107"/>
      <c r="GCH2" s="107"/>
      <c r="GCI2" s="107"/>
      <c r="GCJ2" s="107"/>
      <c r="GCK2" s="107"/>
      <c r="GCL2" s="107"/>
      <c r="GCM2" s="107"/>
      <c r="GCN2" s="107"/>
      <c r="GCO2" s="107"/>
      <c r="GCP2" s="107"/>
      <c r="GCQ2" s="107"/>
      <c r="GCR2" s="107"/>
      <c r="GCS2" s="107"/>
      <c r="GCT2" s="107"/>
      <c r="GCU2" s="107"/>
      <c r="GCV2" s="107"/>
      <c r="GCW2" s="107"/>
      <c r="GCX2" s="107"/>
      <c r="GCY2" s="107"/>
      <c r="GCZ2" s="107"/>
      <c r="GDA2" s="107"/>
      <c r="GDB2" s="107"/>
      <c r="GDC2" s="107"/>
      <c r="GDD2" s="107"/>
      <c r="GDE2" s="107"/>
      <c r="GDF2" s="107"/>
      <c r="GDG2" s="107"/>
      <c r="GDH2" s="107"/>
      <c r="GDI2" s="107"/>
      <c r="GDJ2" s="107"/>
      <c r="GDK2" s="107"/>
      <c r="GDL2" s="107"/>
      <c r="GDM2" s="107"/>
      <c r="GDN2" s="107"/>
      <c r="GDO2" s="107"/>
      <c r="GDP2" s="107"/>
      <c r="GDQ2" s="107"/>
      <c r="GDR2" s="107"/>
      <c r="GDS2" s="107"/>
      <c r="GDT2" s="107"/>
      <c r="GDU2" s="107"/>
      <c r="GDV2" s="107"/>
      <c r="GDW2" s="107"/>
      <c r="GDX2" s="107"/>
      <c r="GDY2" s="107"/>
      <c r="GDZ2" s="107"/>
      <c r="GEA2" s="107"/>
      <c r="GEB2" s="107"/>
      <c r="GEC2" s="107"/>
      <c r="GED2" s="107"/>
      <c r="GEE2" s="107"/>
      <c r="GEF2" s="107"/>
      <c r="GEG2" s="107"/>
      <c r="GEH2" s="107"/>
      <c r="GEI2" s="107"/>
      <c r="GEJ2" s="107"/>
      <c r="GEK2" s="107"/>
      <c r="GEL2" s="107"/>
      <c r="GEM2" s="107"/>
      <c r="GEN2" s="107"/>
      <c r="GEO2" s="107"/>
      <c r="GEP2" s="107"/>
      <c r="GEQ2" s="107"/>
      <c r="GER2" s="107"/>
      <c r="GES2" s="107"/>
      <c r="GET2" s="107"/>
      <c r="GEU2" s="107"/>
      <c r="GEV2" s="107"/>
      <c r="GEW2" s="107"/>
      <c r="GEX2" s="107"/>
      <c r="GEY2" s="107"/>
      <c r="GEZ2" s="107"/>
      <c r="GFA2" s="107"/>
      <c r="GFB2" s="107"/>
      <c r="GFC2" s="107"/>
      <c r="GFD2" s="107"/>
      <c r="GFE2" s="107"/>
      <c r="GFF2" s="107"/>
      <c r="GFG2" s="107"/>
      <c r="GFH2" s="107"/>
      <c r="GFI2" s="107"/>
      <c r="GFJ2" s="107"/>
      <c r="GFK2" s="107"/>
      <c r="GFL2" s="107"/>
      <c r="GFM2" s="107"/>
      <c r="GFN2" s="107"/>
      <c r="GFO2" s="107"/>
      <c r="GFP2" s="107"/>
      <c r="GFQ2" s="107"/>
      <c r="GFR2" s="107"/>
      <c r="GFS2" s="107"/>
      <c r="GFT2" s="107"/>
      <c r="GFU2" s="107"/>
      <c r="GFV2" s="107"/>
      <c r="GFW2" s="107"/>
      <c r="GFX2" s="107"/>
      <c r="GFY2" s="107"/>
      <c r="GFZ2" s="107"/>
      <c r="GGA2" s="107"/>
      <c r="GGB2" s="107"/>
      <c r="GGC2" s="107"/>
      <c r="GGD2" s="107"/>
      <c r="GGE2" s="107"/>
      <c r="GGF2" s="107"/>
      <c r="GGG2" s="107"/>
      <c r="GGH2" s="107"/>
      <c r="GGI2" s="107"/>
      <c r="GGJ2" s="107"/>
      <c r="GGK2" s="107"/>
      <c r="GGL2" s="107"/>
      <c r="GGM2" s="107"/>
      <c r="GGN2" s="107"/>
      <c r="GGO2" s="107"/>
      <c r="GGP2" s="107"/>
      <c r="GGQ2" s="107"/>
      <c r="GGR2" s="107"/>
      <c r="GGS2" s="107"/>
      <c r="GGT2" s="107"/>
      <c r="GGU2" s="107"/>
      <c r="GGV2" s="107"/>
      <c r="GGW2" s="107"/>
      <c r="GGX2" s="107"/>
      <c r="GGY2" s="107"/>
      <c r="GGZ2" s="107"/>
      <c r="GHA2" s="107"/>
      <c r="GHB2" s="107"/>
      <c r="GHC2" s="107"/>
      <c r="GHD2" s="107"/>
      <c r="GHE2" s="107"/>
      <c r="GHF2" s="107"/>
      <c r="GHG2" s="107"/>
      <c r="GHH2" s="107"/>
      <c r="GHI2" s="107"/>
      <c r="GHJ2" s="107"/>
      <c r="GHK2" s="107"/>
      <c r="GHL2" s="107"/>
      <c r="GHM2" s="107"/>
      <c r="GHN2" s="107"/>
      <c r="GHO2" s="107"/>
      <c r="GHP2" s="107"/>
      <c r="GHQ2" s="107"/>
      <c r="GHR2" s="107"/>
      <c r="GHS2" s="107"/>
      <c r="GHT2" s="107"/>
      <c r="GHU2" s="107"/>
      <c r="GHV2" s="107"/>
      <c r="GHW2" s="107"/>
      <c r="GHX2" s="107"/>
      <c r="GHY2" s="107"/>
      <c r="GHZ2" s="107"/>
      <c r="GIA2" s="107"/>
      <c r="GIB2" s="107"/>
      <c r="GIC2" s="107"/>
      <c r="GID2" s="107"/>
      <c r="GIE2" s="107"/>
      <c r="GIF2" s="107"/>
      <c r="GIG2" s="107"/>
      <c r="GIH2" s="107"/>
      <c r="GII2" s="107"/>
      <c r="GIJ2" s="107"/>
      <c r="GIK2" s="107"/>
      <c r="GIL2" s="107"/>
      <c r="GIM2" s="107"/>
      <c r="GIN2" s="107"/>
      <c r="GIO2" s="107"/>
      <c r="GIP2" s="107"/>
      <c r="GIQ2" s="107"/>
      <c r="GIR2" s="107"/>
      <c r="GIS2" s="107"/>
      <c r="GIT2" s="107"/>
      <c r="GIU2" s="107"/>
      <c r="GIV2" s="107"/>
      <c r="GIW2" s="107"/>
      <c r="GIX2" s="107"/>
      <c r="GIY2" s="107"/>
      <c r="GIZ2" s="107"/>
      <c r="GJA2" s="107"/>
      <c r="GJB2" s="107"/>
      <c r="GJC2" s="107"/>
      <c r="GJD2" s="107"/>
      <c r="GJE2" s="107"/>
      <c r="GJF2" s="107"/>
      <c r="GJG2" s="107"/>
      <c r="GJH2" s="107"/>
      <c r="GJI2" s="107"/>
      <c r="GJJ2" s="107"/>
      <c r="GJK2" s="107"/>
      <c r="GJL2" s="107"/>
      <c r="GJM2" s="107"/>
      <c r="GJN2" s="107"/>
      <c r="GJO2" s="107"/>
      <c r="GJP2" s="107"/>
      <c r="GJQ2" s="107"/>
      <c r="GJR2" s="107"/>
      <c r="GJS2" s="107"/>
      <c r="GJT2" s="107"/>
      <c r="GJU2" s="107"/>
      <c r="GJV2" s="107"/>
      <c r="GJW2" s="107"/>
      <c r="GJX2" s="107"/>
      <c r="GJY2" s="107"/>
      <c r="GJZ2" s="107"/>
      <c r="GKA2" s="107"/>
      <c r="GKB2" s="107"/>
      <c r="GKC2" s="107"/>
      <c r="GKD2" s="107"/>
      <c r="GKE2" s="107"/>
      <c r="GKF2" s="107"/>
      <c r="GKG2" s="107"/>
      <c r="GKH2" s="107"/>
      <c r="GKI2" s="107"/>
      <c r="GKJ2" s="107"/>
      <c r="GKK2" s="107"/>
      <c r="GKL2" s="107"/>
      <c r="GKM2" s="107"/>
      <c r="GKN2" s="107"/>
      <c r="GKO2" s="107"/>
      <c r="GKP2" s="107"/>
      <c r="GKQ2" s="107"/>
      <c r="GKR2" s="107"/>
      <c r="GKS2" s="107"/>
      <c r="GKT2" s="107"/>
      <c r="GKU2" s="107"/>
      <c r="GKV2" s="107"/>
      <c r="GKW2" s="107"/>
      <c r="GKX2" s="107"/>
      <c r="GKY2" s="107"/>
      <c r="GKZ2" s="107"/>
      <c r="GLA2" s="107"/>
      <c r="GLB2" s="107"/>
      <c r="GLC2" s="107"/>
      <c r="GLD2" s="107"/>
      <c r="GLE2" s="107"/>
      <c r="GLF2" s="107"/>
      <c r="GLG2" s="107"/>
      <c r="GLH2" s="107"/>
      <c r="GLI2" s="107"/>
      <c r="GLJ2" s="107"/>
      <c r="GLK2" s="107"/>
      <c r="GLL2" s="107"/>
      <c r="GLM2" s="107"/>
      <c r="GLN2" s="107"/>
      <c r="GLO2" s="107"/>
      <c r="GLP2" s="107"/>
      <c r="GLQ2" s="107"/>
      <c r="GLR2" s="107"/>
      <c r="GLS2" s="107"/>
      <c r="GLT2" s="107"/>
      <c r="GLU2" s="107"/>
      <c r="GLV2" s="107"/>
      <c r="GLW2" s="107"/>
      <c r="GLX2" s="107"/>
      <c r="GLY2" s="107"/>
      <c r="GLZ2" s="107"/>
      <c r="GMA2" s="107"/>
      <c r="GMB2" s="107"/>
      <c r="GMC2" s="107"/>
      <c r="GMD2" s="107"/>
      <c r="GME2" s="107"/>
      <c r="GMF2" s="107"/>
      <c r="GMG2" s="107"/>
      <c r="GMH2" s="107"/>
      <c r="GMI2" s="107"/>
      <c r="GMJ2" s="107"/>
      <c r="GMK2" s="107"/>
      <c r="GML2" s="107"/>
      <c r="GMM2" s="107"/>
      <c r="GMN2" s="107"/>
      <c r="GMO2" s="107"/>
      <c r="GMP2" s="107"/>
      <c r="GMQ2" s="107"/>
      <c r="GMR2" s="107"/>
      <c r="GMS2" s="107"/>
      <c r="GMT2" s="107"/>
      <c r="GMU2" s="107"/>
      <c r="GMV2" s="107"/>
      <c r="GMW2" s="107"/>
      <c r="GMX2" s="107"/>
      <c r="GMY2" s="107"/>
      <c r="GMZ2" s="107"/>
      <c r="GNA2" s="107"/>
      <c r="GNB2" s="107"/>
      <c r="GNC2" s="107"/>
      <c r="GND2" s="107"/>
      <c r="GNE2" s="107"/>
      <c r="GNF2" s="107"/>
      <c r="GNG2" s="107"/>
      <c r="GNH2" s="107"/>
      <c r="GNI2" s="107"/>
      <c r="GNJ2" s="107"/>
      <c r="GNK2" s="107"/>
      <c r="GNL2" s="107"/>
      <c r="GNM2" s="107"/>
      <c r="GNN2" s="107"/>
      <c r="GNO2" s="107"/>
      <c r="GNP2" s="107"/>
      <c r="GNQ2" s="107"/>
      <c r="GNR2" s="107"/>
      <c r="GNS2" s="107"/>
      <c r="GNT2" s="107"/>
      <c r="GNU2" s="107"/>
      <c r="GNV2" s="107"/>
      <c r="GNW2" s="107"/>
      <c r="GNX2" s="107"/>
      <c r="GNY2" s="107"/>
      <c r="GNZ2" s="107"/>
      <c r="GOA2" s="107"/>
      <c r="GOB2" s="107"/>
      <c r="GOC2" s="107"/>
      <c r="GOD2" s="107"/>
      <c r="GOE2" s="107"/>
      <c r="GOF2" s="107"/>
      <c r="GOG2" s="107"/>
      <c r="GOH2" s="107"/>
      <c r="GOI2" s="107"/>
      <c r="GOJ2" s="107"/>
      <c r="GOK2" s="107"/>
      <c r="GOL2" s="107"/>
      <c r="GOM2" s="107"/>
      <c r="GON2" s="107"/>
      <c r="GOO2" s="107"/>
      <c r="GOP2" s="107"/>
      <c r="GOQ2" s="107"/>
      <c r="GOR2" s="107"/>
      <c r="GOS2" s="107"/>
      <c r="GOT2" s="107"/>
      <c r="GOU2" s="107"/>
      <c r="GOV2" s="107"/>
      <c r="GOW2" s="107"/>
      <c r="GOX2" s="107"/>
      <c r="GOY2" s="107"/>
      <c r="GOZ2" s="107"/>
      <c r="GPA2" s="107"/>
      <c r="GPB2" s="107"/>
      <c r="GPC2" s="107"/>
      <c r="GPD2" s="107"/>
      <c r="GPE2" s="107"/>
      <c r="GPF2" s="107"/>
      <c r="GPG2" s="107"/>
      <c r="GPH2" s="107"/>
      <c r="GPI2" s="107"/>
      <c r="GPJ2" s="107"/>
      <c r="GPK2" s="107"/>
      <c r="GPL2" s="107"/>
      <c r="GPM2" s="107"/>
      <c r="GPN2" s="107"/>
      <c r="GPO2" s="107"/>
      <c r="GPP2" s="107"/>
      <c r="GPQ2" s="107"/>
      <c r="GPR2" s="107"/>
      <c r="GPS2" s="107"/>
      <c r="GPT2" s="107"/>
      <c r="GPU2" s="107"/>
      <c r="GPV2" s="107"/>
      <c r="GPW2" s="107"/>
      <c r="GPX2" s="107"/>
      <c r="GPY2" s="107"/>
      <c r="GPZ2" s="107"/>
      <c r="GQA2" s="107"/>
      <c r="GQB2" s="107"/>
      <c r="GQC2" s="107"/>
      <c r="GQD2" s="107"/>
      <c r="GQE2" s="107"/>
      <c r="GQF2" s="107"/>
      <c r="GQG2" s="107"/>
      <c r="GQH2" s="107"/>
      <c r="GQI2" s="107"/>
      <c r="GQJ2" s="107"/>
      <c r="GQK2" s="107"/>
      <c r="GQL2" s="107"/>
      <c r="GQM2" s="107"/>
      <c r="GQN2" s="107"/>
      <c r="GQO2" s="107"/>
      <c r="GQP2" s="107"/>
      <c r="GQQ2" s="107"/>
      <c r="GQR2" s="107"/>
      <c r="GQS2" s="107"/>
      <c r="GQT2" s="107"/>
      <c r="GQU2" s="107"/>
      <c r="GQV2" s="107"/>
      <c r="GQW2" s="107"/>
      <c r="GQX2" s="107"/>
      <c r="GQY2" s="107"/>
      <c r="GQZ2" s="107"/>
      <c r="GRA2" s="107"/>
      <c r="GRB2" s="107"/>
      <c r="GRC2" s="107"/>
      <c r="GRD2" s="107"/>
      <c r="GRE2" s="107"/>
      <c r="GRF2" s="107"/>
      <c r="GRG2" s="107"/>
      <c r="GRH2" s="107"/>
      <c r="GRI2" s="107"/>
      <c r="GRJ2" s="107"/>
      <c r="GRK2" s="107"/>
      <c r="GRL2" s="107"/>
      <c r="GRM2" s="107"/>
      <c r="GRN2" s="107"/>
      <c r="GRO2" s="107"/>
      <c r="GRP2" s="107"/>
      <c r="GRQ2" s="107"/>
      <c r="GRR2" s="107"/>
      <c r="GRS2" s="107"/>
      <c r="GRT2" s="107"/>
      <c r="GRU2" s="107"/>
      <c r="GRV2" s="107"/>
      <c r="GRW2" s="107"/>
      <c r="GRX2" s="107"/>
      <c r="GRY2" s="107"/>
      <c r="GRZ2" s="107"/>
      <c r="GSA2" s="107"/>
      <c r="GSB2" s="107"/>
      <c r="GSC2" s="107"/>
      <c r="GSD2" s="107"/>
      <c r="GSE2" s="107"/>
      <c r="GSF2" s="107"/>
      <c r="GSG2" s="107"/>
      <c r="GSH2" s="107"/>
      <c r="GSI2" s="107"/>
      <c r="GSJ2" s="107"/>
      <c r="GSK2" s="107"/>
      <c r="GSL2" s="107"/>
      <c r="GSM2" s="107"/>
      <c r="GSN2" s="107"/>
      <c r="GSO2" s="107"/>
      <c r="GSP2" s="107"/>
      <c r="GSQ2" s="107"/>
      <c r="GSR2" s="107"/>
      <c r="GSS2" s="107"/>
      <c r="GST2" s="107"/>
      <c r="GSU2" s="107"/>
      <c r="GSV2" s="107"/>
      <c r="GSW2" s="107"/>
      <c r="GSX2" s="107"/>
      <c r="GSY2" s="107"/>
      <c r="GSZ2" s="107"/>
      <c r="GTA2" s="107"/>
      <c r="GTB2" s="107"/>
      <c r="GTC2" s="107"/>
      <c r="GTD2" s="107"/>
      <c r="GTE2" s="107"/>
      <c r="GTF2" s="107"/>
      <c r="GTG2" s="107"/>
      <c r="GTH2" s="107"/>
      <c r="GTI2" s="107"/>
      <c r="GTJ2" s="107"/>
      <c r="GTK2" s="107"/>
      <c r="GTL2" s="107"/>
      <c r="GTM2" s="107"/>
      <c r="GTN2" s="107"/>
      <c r="GTO2" s="107"/>
      <c r="GTP2" s="107"/>
      <c r="GTQ2" s="107"/>
      <c r="GTR2" s="107"/>
      <c r="GTS2" s="107"/>
      <c r="GTT2" s="107"/>
      <c r="GTU2" s="107"/>
      <c r="GTV2" s="107"/>
      <c r="GTW2" s="107"/>
      <c r="GTX2" s="107"/>
      <c r="GTY2" s="107"/>
      <c r="GTZ2" s="107"/>
      <c r="GUA2" s="107"/>
      <c r="GUB2" s="107"/>
      <c r="GUC2" s="107"/>
      <c r="GUD2" s="107"/>
      <c r="GUE2" s="107"/>
      <c r="GUF2" s="107"/>
      <c r="GUG2" s="107"/>
      <c r="GUH2" s="107"/>
      <c r="GUI2" s="107"/>
      <c r="GUJ2" s="107"/>
      <c r="GUK2" s="107"/>
      <c r="GUL2" s="107"/>
      <c r="GUM2" s="107"/>
      <c r="GUN2" s="107"/>
      <c r="GUO2" s="107"/>
      <c r="GUP2" s="107"/>
      <c r="GUQ2" s="107"/>
      <c r="GUR2" s="107"/>
      <c r="GUS2" s="107"/>
      <c r="GUT2" s="107"/>
      <c r="GUU2" s="107"/>
      <c r="GUV2" s="107"/>
      <c r="GUW2" s="107"/>
      <c r="GUX2" s="107"/>
      <c r="GUY2" s="107"/>
      <c r="GUZ2" s="107"/>
      <c r="GVA2" s="107"/>
      <c r="GVB2" s="107"/>
      <c r="GVC2" s="107"/>
      <c r="GVD2" s="107"/>
      <c r="GVE2" s="107"/>
      <c r="GVF2" s="107"/>
      <c r="GVG2" s="107"/>
      <c r="GVH2" s="107"/>
      <c r="GVI2" s="107"/>
      <c r="GVJ2" s="107"/>
      <c r="GVK2" s="107"/>
      <c r="GVL2" s="107"/>
      <c r="GVM2" s="107"/>
      <c r="GVN2" s="107"/>
      <c r="GVO2" s="107"/>
      <c r="GVP2" s="107"/>
      <c r="GVQ2" s="107"/>
      <c r="GVR2" s="107"/>
      <c r="GVS2" s="107"/>
      <c r="GVT2" s="107"/>
      <c r="GVU2" s="107"/>
      <c r="GVV2" s="107"/>
      <c r="GVW2" s="107"/>
      <c r="GVX2" s="107"/>
      <c r="GVY2" s="107"/>
      <c r="GVZ2" s="107"/>
      <c r="GWA2" s="107"/>
      <c r="GWB2" s="107"/>
      <c r="GWC2" s="107"/>
      <c r="GWD2" s="107"/>
      <c r="GWE2" s="107"/>
      <c r="GWF2" s="107"/>
      <c r="GWG2" s="107"/>
      <c r="GWH2" s="107"/>
      <c r="GWI2" s="107"/>
      <c r="GWJ2" s="107"/>
      <c r="GWK2" s="107"/>
      <c r="GWL2" s="107"/>
      <c r="GWM2" s="107"/>
      <c r="GWN2" s="107"/>
      <c r="GWO2" s="107"/>
      <c r="GWP2" s="107"/>
      <c r="GWQ2" s="107"/>
      <c r="GWR2" s="107"/>
      <c r="GWS2" s="107"/>
      <c r="GWT2" s="107"/>
      <c r="GWU2" s="107"/>
      <c r="GWV2" s="107"/>
      <c r="GWW2" s="107"/>
      <c r="GWX2" s="107"/>
      <c r="GWY2" s="107"/>
      <c r="GWZ2" s="107"/>
      <c r="GXA2" s="107"/>
      <c r="GXB2" s="107"/>
      <c r="GXC2" s="107"/>
      <c r="GXD2" s="107"/>
      <c r="GXE2" s="107"/>
      <c r="GXF2" s="107"/>
      <c r="GXG2" s="107"/>
      <c r="GXH2" s="107"/>
      <c r="GXI2" s="107"/>
      <c r="GXJ2" s="107"/>
      <c r="GXK2" s="107"/>
      <c r="GXL2" s="107"/>
      <c r="GXM2" s="107"/>
      <c r="GXN2" s="107"/>
      <c r="GXO2" s="107"/>
      <c r="GXP2" s="107"/>
      <c r="GXQ2" s="107"/>
      <c r="GXR2" s="107"/>
      <c r="GXS2" s="107"/>
      <c r="GXT2" s="107"/>
      <c r="GXU2" s="107"/>
      <c r="GXV2" s="107"/>
      <c r="GXW2" s="107"/>
      <c r="GXX2" s="107"/>
      <c r="GXY2" s="107"/>
      <c r="GXZ2" s="107"/>
      <c r="GYA2" s="107"/>
      <c r="GYB2" s="107"/>
      <c r="GYC2" s="107"/>
      <c r="GYD2" s="107"/>
      <c r="GYE2" s="107"/>
      <c r="GYF2" s="107"/>
      <c r="GYG2" s="107"/>
      <c r="GYH2" s="107"/>
      <c r="GYI2" s="107"/>
      <c r="GYJ2" s="107"/>
      <c r="GYK2" s="107"/>
      <c r="GYL2" s="107"/>
      <c r="GYM2" s="107"/>
      <c r="GYN2" s="107"/>
      <c r="GYO2" s="107"/>
      <c r="GYP2" s="107"/>
      <c r="GYQ2" s="107"/>
      <c r="GYR2" s="107"/>
      <c r="GYS2" s="107"/>
      <c r="GYT2" s="107"/>
      <c r="GYU2" s="107"/>
      <c r="GYV2" s="107"/>
      <c r="GYW2" s="107"/>
      <c r="GYX2" s="107"/>
      <c r="GYY2" s="107"/>
      <c r="GYZ2" s="107"/>
      <c r="GZA2" s="107"/>
      <c r="GZB2" s="107"/>
      <c r="GZC2" s="107"/>
      <c r="GZD2" s="107"/>
      <c r="GZE2" s="107"/>
      <c r="GZF2" s="107"/>
      <c r="GZG2" s="107"/>
      <c r="GZH2" s="107"/>
      <c r="GZI2" s="107"/>
      <c r="GZJ2" s="107"/>
      <c r="GZK2" s="107"/>
      <c r="GZL2" s="107"/>
      <c r="GZM2" s="107"/>
      <c r="GZN2" s="107"/>
      <c r="GZO2" s="107"/>
      <c r="GZP2" s="107"/>
      <c r="GZQ2" s="107"/>
      <c r="GZR2" s="107"/>
      <c r="GZS2" s="107"/>
      <c r="GZT2" s="107"/>
      <c r="GZU2" s="107"/>
      <c r="GZV2" s="107"/>
      <c r="GZW2" s="107"/>
      <c r="GZX2" s="107"/>
      <c r="GZY2" s="107"/>
      <c r="GZZ2" s="107"/>
      <c r="HAA2" s="107"/>
      <c r="HAB2" s="107"/>
      <c r="HAC2" s="107"/>
      <c r="HAD2" s="107"/>
      <c r="HAE2" s="107"/>
      <c r="HAF2" s="107"/>
      <c r="HAG2" s="107"/>
      <c r="HAH2" s="107"/>
      <c r="HAI2" s="107"/>
      <c r="HAJ2" s="107"/>
      <c r="HAK2" s="107"/>
      <c r="HAL2" s="107"/>
      <c r="HAM2" s="107"/>
      <c r="HAN2" s="107"/>
      <c r="HAO2" s="107"/>
      <c r="HAP2" s="107"/>
      <c r="HAQ2" s="107"/>
      <c r="HAR2" s="107"/>
      <c r="HAS2" s="107"/>
      <c r="HAT2" s="107"/>
      <c r="HAU2" s="107"/>
      <c r="HAV2" s="107"/>
      <c r="HAW2" s="107"/>
      <c r="HAX2" s="107"/>
      <c r="HAY2" s="107"/>
      <c r="HAZ2" s="107"/>
      <c r="HBA2" s="107"/>
      <c r="HBB2" s="107"/>
      <c r="HBC2" s="107"/>
      <c r="HBD2" s="107"/>
      <c r="HBE2" s="107"/>
      <c r="HBF2" s="107"/>
      <c r="HBG2" s="107"/>
      <c r="HBH2" s="107"/>
      <c r="HBI2" s="107"/>
      <c r="HBJ2" s="107"/>
      <c r="HBK2" s="107"/>
      <c r="HBL2" s="107"/>
      <c r="HBM2" s="107"/>
      <c r="HBN2" s="107"/>
      <c r="HBO2" s="107"/>
      <c r="HBP2" s="107"/>
      <c r="HBQ2" s="107"/>
      <c r="HBR2" s="107"/>
      <c r="HBS2" s="107"/>
      <c r="HBT2" s="107"/>
      <c r="HBU2" s="107"/>
      <c r="HBV2" s="107"/>
      <c r="HBW2" s="107"/>
      <c r="HBX2" s="107"/>
      <c r="HBY2" s="107"/>
      <c r="HBZ2" s="107"/>
      <c r="HCA2" s="107"/>
      <c r="HCB2" s="107"/>
      <c r="HCC2" s="107"/>
      <c r="HCD2" s="107"/>
      <c r="HCE2" s="107"/>
      <c r="HCF2" s="107"/>
      <c r="HCG2" s="107"/>
      <c r="HCH2" s="107"/>
      <c r="HCI2" s="107"/>
      <c r="HCJ2" s="107"/>
      <c r="HCK2" s="107"/>
      <c r="HCL2" s="107"/>
      <c r="HCM2" s="107"/>
      <c r="HCN2" s="107"/>
      <c r="HCO2" s="107"/>
      <c r="HCP2" s="107"/>
      <c r="HCQ2" s="107"/>
      <c r="HCR2" s="107"/>
      <c r="HCS2" s="107"/>
      <c r="HCT2" s="107"/>
      <c r="HCU2" s="107"/>
      <c r="HCV2" s="107"/>
      <c r="HCW2" s="107"/>
      <c r="HCX2" s="107"/>
      <c r="HCY2" s="107"/>
      <c r="HCZ2" s="107"/>
      <c r="HDA2" s="107"/>
      <c r="HDB2" s="107"/>
      <c r="HDC2" s="107"/>
      <c r="HDD2" s="107"/>
      <c r="HDE2" s="107"/>
      <c r="HDF2" s="107"/>
      <c r="HDG2" s="107"/>
      <c r="HDH2" s="107"/>
      <c r="HDI2" s="107"/>
      <c r="HDJ2" s="107"/>
      <c r="HDK2" s="107"/>
      <c r="HDL2" s="107"/>
      <c r="HDM2" s="107"/>
      <c r="HDN2" s="107"/>
      <c r="HDO2" s="107"/>
      <c r="HDP2" s="107"/>
      <c r="HDQ2" s="107"/>
      <c r="HDR2" s="107"/>
      <c r="HDS2" s="107"/>
      <c r="HDT2" s="107"/>
      <c r="HDU2" s="107"/>
      <c r="HDV2" s="107"/>
      <c r="HDW2" s="107"/>
      <c r="HDX2" s="107"/>
      <c r="HDY2" s="107"/>
      <c r="HDZ2" s="107"/>
      <c r="HEA2" s="107"/>
      <c r="HEB2" s="107"/>
      <c r="HEC2" s="107"/>
      <c r="HED2" s="107"/>
      <c r="HEE2" s="107"/>
      <c r="HEF2" s="107"/>
      <c r="HEG2" s="107"/>
      <c r="HEH2" s="107"/>
      <c r="HEI2" s="107"/>
      <c r="HEJ2" s="107"/>
      <c r="HEK2" s="107"/>
      <c r="HEL2" s="107"/>
      <c r="HEM2" s="107"/>
      <c r="HEN2" s="107"/>
      <c r="HEO2" s="107"/>
      <c r="HEP2" s="107"/>
      <c r="HEQ2" s="107"/>
      <c r="HER2" s="107"/>
      <c r="HES2" s="107"/>
      <c r="HET2" s="107"/>
      <c r="HEU2" s="107"/>
      <c r="HEV2" s="107"/>
      <c r="HEW2" s="107"/>
      <c r="HEX2" s="107"/>
      <c r="HEY2" s="107"/>
      <c r="HEZ2" s="107"/>
      <c r="HFA2" s="107"/>
      <c r="HFB2" s="107"/>
      <c r="HFC2" s="107"/>
      <c r="HFD2" s="107"/>
      <c r="HFE2" s="107"/>
      <c r="HFF2" s="107"/>
      <c r="HFG2" s="107"/>
      <c r="HFH2" s="107"/>
      <c r="HFI2" s="107"/>
      <c r="HFJ2" s="107"/>
      <c r="HFK2" s="107"/>
      <c r="HFL2" s="107"/>
      <c r="HFM2" s="107"/>
      <c r="HFN2" s="107"/>
      <c r="HFO2" s="107"/>
      <c r="HFP2" s="107"/>
      <c r="HFQ2" s="107"/>
      <c r="HFR2" s="107"/>
      <c r="HFS2" s="107"/>
      <c r="HFT2" s="107"/>
      <c r="HFU2" s="107"/>
      <c r="HFV2" s="107"/>
      <c r="HFW2" s="107"/>
      <c r="HFX2" s="107"/>
      <c r="HFY2" s="107"/>
      <c r="HFZ2" s="107"/>
      <c r="HGA2" s="107"/>
      <c r="HGB2" s="107"/>
      <c r="HGC2" s="107"/>
      <c r="HGD2" s="107"/>
      <c r="HGE2" s="107"/>
      <c r="HGF2" s="107"/>
      <c r="HGG2" s="107"/>
      <c r="HGH2" s="107"/>
      <c r="HGI2" s="107"/>
      <c r="HGJ2" s="107"/>
      <c r="HGK2" s="107"/>
      <c r="HGL2" s="107"/>
      <c r="HGM2" s="107"/>
      <c r="HGN2" s="107"/>
      <c r="HGO2" s="107"/>
      <c r="HGP2" s="107"/>
      <c r="HGQ2" s="107"/>
      <c r="HGR2" s="107"/>
      <c r="HGS2" s="107"/>
      <c r="HGT2" s="107"/>
      <c r="HGU2" s="107"/>
      <c r="HGV2" s="107"/>
      <c r="HGW2" s="107"/>
      <c r="HGX2" s="107"/>
      <c r="HGY2" s="107"/>
      <c r="HGZ2" s="107"/>
      <c r="HHA2" s="107"/>
      <c r="HHB2" s="107"/>
      <c r="HHC2" s="107"/>
      <c r="HHD2" s="107"/>
      <c r="HHE2" s="107"/>
      <c r="HHF2" s="107"/>
      <c r="HHG2" s="107"/>
      <c r="HHH2" s="107"/>
      <c r="HHI2" s="107"/>
      <c r="HHJ2" s="107"/>
      <c r="HHK2" s="107"/>
      <c r="HHL2" s="107"/>
      <c r="HHM2" s="107"/>
      <c r="HHN2" s="107"/>
      <c r="HHO2" s="107"/>
      <c r="HHP2" s="107"/>
      <c r="HHQ2" s="107"/>
      <c r="HHR2" s="107"/>
      <c r="HHS2" s="107"/>
      <c r="HHT2" s="107"/>
      <c r="HHU2" s="107"/>
      <c r="HHV2" s="107"/>
      <c r="HHW2" s="107"/>
      <c r="HHX2" s="107"/>
      <c r="HHY2" s="107"/>
      <c r="HHZ2" s="107"/>
      <c r="HIA2" s="107"/>
      <c r="HIB2" s="107"/>
      <c r="HIC2" s="107"/>
      <c r="HID2" s="107"/>
      <c r="HIE2" s="107"/>
      <c r="HIF2" s="107"/>
      <c r="HIG2" s="107"/>
      <c r="HIH2" s="107"/>
      <c r="HII2" s="107"/>
      <c r="HIJ2" s="107"/>
      <c r="HIK2" s="107"/>
      <c r="HIL2" s="107"/>
      <c r="HIM2" s="107"/>
      <c r="HIN2" s="107"/>
      <c r="HIO2" s="107"/>
      <c r="HIP2" s="107"/>
      <c r="HIQ2" s="107"/>
      <c r="HIR2" s="107"/>
      <c r="HIS2" s="107"/>
      <c r="HIT2" s="107"/>
      <c r="HIU2" s="107"/>
      <c r="HIV2" s="107"/>
      <c r="HIW2" s="107"/>
      <c r="HIX2" s="107"/>
      <c r="HIY2" s="107"/>
      <c r="HIZ2" s="107"/>
      <c r="HJA2" s="107"/>
      <c r="HJB2" s="107"/>
      <c r="HJC2" s="107"/>
      <c r="HJD2" s="107"/>
      <c r="HJE2" s="107"/>
      <c r="HJF2" s="107"/>
      <c r="HJG2" s="107"/>
      <c r="HJH2" s="107"/>
      <c r="HJI2" s="107"/>
      <c r="HJJ2" s="107"/>
      <c r="HJK2" s="107"/>
      <c r="HJL2" s="107"/>
      <c r="HJM2" s="107"/>
      <c r="HJN2" s="107"/>
      <c r="HJO2" s="107"/>
      <c r="HJP2" s="107"/>
      <c r="HJQ2" s="107"/>
      <c r="HJR2" s="107"/>
      <c r="HJS2" s="107"/>
      <c r="HJT2" s="107"/>
      <c r="HJU2" s="107"/>
      <c r="HJV2" s="107"/>
      <c r="HJW2" s="107"/>
      <c r="HJX2" s="107"/>
      <c r="HJY2" s="107"/>
      <c r="HJZ2" s="107"/>
      <c r="HKA2" s="107"/>
      <c r="HKB2" s="107"/>
      <c r="HKC2" s="107"/>
      <c r="HKD2" s="107"/>
      <c r="HKE2" s="107"/>
      <c r="HKF2" s="107"/>
      <c r="HKG2" s="107"/>
      <c r="HKH2" s="107"/>
      <c r="HKI2" s="107"/>
      <c r="HKJ2" s="107"/>
      <c r="HKK2" s="107"/>
      <c r="HKL2" s="107"/>
      <c r="HKM2" s="107"/>
      <c r="HKN2" s="107"/>
      <c r="HKO2" s="107"/>
      <c r="HKP2" s="107"/>
      <c r="HKQ2" s="107"/>
      <c r="HKR2" s="107"/>
      <c r="HKS2" s="107"/>
      <c r="HKT2" s="107"/>
      <c r="HKU2" s="107"/>
      <c r="HKV2" s="107"/>
      <c r="HKW2" s="107"/>
      <c r="HKX2" s="107"/>
      <c r="HKY2" s="107"/>
      <c r="HKZ2" s="107"/>
      <c r="HLA2" s="107"/>
      <c r="HLB2" s="107"/>
      <c r="HLC2" s="107"/>
      <c r="HLD2" s="107"/>
      <c r="HLE2" s="107"/>
      <c r="HLF2" s="107"/>
      <c r="HLG2" s="107"/>
      <c r="HLH2" s="107"/>
      <c r="HLI2" s="107"/>
      <c r="HLJ2" s="107"/>
      <c r="HLK2" s="107"/>
      <c r="HLL2" s="107"/>
      <c r="HLM2" s="107"/>
      <c r="HLN2" s="107"/>
      <c r="HLO2" s="107"/>
      <c r="HLP2" s="107"/>
      <c r="HLQ2" s="107"/>
      <c r="HLR2" s="107"/>
      <c r="HLS2" s="107"/>
      <c r="HLT2" s="107"/>
      <c r="HLU2" s="107"/>
      <c r="HLV2" s="107"/>
      <c r="HLW2" s="107"/>
      <c r="HLX2" s="107"/>
      <c r="HLY2" s="107"/>
      <c r="HLZ2" s="107"/>
      <c r="HMA2" s="107"/>
      <c r="HMB2" s="107"/>
      <c r="HMC2" s="107"/>
      <c r="HMD2" s="107"/>
      <c r="HME2" s="107"/>
      <c r="HMF2" s="107"/>
      <c r="HMG2" s="107"/>
      <c r="HMH2" s="107"/>
      <c r="HMI2" s="107"/>
      <c r="HMJ2" s="107"/>
      <c r="HMK2" s="107"/>
      <c r="HML2" s="107"/>
      <c r="HMM2" s="107"/>
      <c r="HMN2" s="107"/>
      <c r="HMO2" s="107"/>
      <c r="HMP2" s="107"/>
      <c r="HMQ2" s="107"/>
      <c r="HMR2" s="107"/>
      <c r="HMS2" s="107"/>
      <c r="HMT2" s="107"/>
      <c r="HMU2" s="107"/>
      <c r="HMV2" s="107"/>
      <c r="HMW2" s="107"/>
      <c r="HMX2" s="107"/>
      <c r="HMY2" s="107"/>
      <c r="HMZ2" s="107"/>
      <c r="HNA2" s="107"/>
      <c r="HNB2" s="107"/>
      <c r="HNC2" s="107"/>
      <c r="HND2" s="107"/>
      <c r="HNE2" s="107"/>
      <c r="HNF2" s="107"/>
      <c r="HNG2" s="107"/>
      <c r="HNH2" s="107"/>
      <c r="HNI2" s="107"/>
      <c r="HNJ2" s="107"/>
      <c r="HNK2" s="107"/>
      <c r="HNL2" s="107"/>
      <c r="HNM2" s="107"/>
      <c r="HNN2" s="107"/>
      <c r="HNO2" s="107"/>
      <c r="HNP2" s="107"/>
      <c r="HNQ2" s="107"/>
      <c r="HNR2" s="107"/>
      <c r="HNS2" s="107"/>
      <c r="HNT2" s="107"/>
      <c r="HNU2" s="107"/>
      <c r="HNV2" s="107"/>
      <c r="HNW2" s="107"/>
      <c r="HNX2" s="107"/>
      <c r="HNY2" s="107"/>
      <c r="HNZ2" s="107"/>
      <c r="HOA2" s="107"/>
      <c r="HOB2" s="107"/>
      <c r="HOC2" s="107"/>
      <c r="HOD2" s="107"/>
      <c r="HOE2" s="107"/>
      <c r="HOF2" s="107"/>
      <c r="HOG2" s="107"/>
      <c r="HOH2" s="107"/>
      <c r="HOI2" s="107"/>
      <c r="HOJ2" s="107"/>
      <c r="HOK2" s="107"/>
      <c r="HOL2" s="107"/>
      <c r="HOM2" s="107"/>
      <c r="HON2" s="107"/>
      <c r="HOO2" s="107"/>
      <c r="HOP2" s="107"/>
      <c r="HOQ2" s="107"/>
      <c r="HOR2" s="107"/>
      <c r="HOS2" s="107"/>
      <c r="HOT2" s="107"/>
      <c r="HOU2" s="107"/>
      <c r="HOV2" s="107"/>
      <c r="HOW2" s="107"/>
      <c r="HOX2" s="107"/>
      <c r="HOY2" s="107"/>
      <c r="HOZ2" s="107"/>
      <c r="HPA2" s="107"/>
      <c r="HPB2" s="107"/>
      <c r="HPC2" s="107"/>
      <c r="HPD2" s="107"/>
      <c r="HPE2" s="107"/>
      <c r="HPF2" s="107"/>
      <c r="HPG2" s="107"/>
      <c r="HPH2" s="107"/>
      <c r="HPI2" s="107"/>
      <c r="HPJ2" s="107"/>
      <c r="HPK2" s="107"/>
      <c r="HPL2" s="107"/>
      <c r="HPM2" s="107"/>
      <c r="HPN2" s="107"/>
      <c r="HPO2" s="107"/>
      <c r="HPP2" s="107"/>
      <c r="HPQ2" s="107"/>
      <c r="HPR2" s="107"/>
      <c r="HPS2" s="107"/>
      <c r="HPT2" s="107"/>
      <c r="HPU2" s="107"/>
      <c r="HPV2" s="107"/>
      <c r="HPW2" s="107"/>
      <c r="HPX2" s="107"/>
      <c r="HPY2" s="107"/>
      <c r="HPZ2" s="107"/>
      <c r="HQA2" s="107"/>
      <c r="HQB2" s="107"/>
      <c r="HQC2" s="107"/>
      <c r="HQD2" s="107"/>
      <c r="HQE2" s="107"/>
      <c r="HQF2" s="107"/>
      <c r="HQG2" s="107"/>
      <c r="HQH2" s="107"/>
      <c r="HQI2" s="107"/>
      <c r="HQJ2" s="107"/>
      <c r="HQK2" s="107"/>
      <c r="HQL2" s="107"/>
      <c r="HQM2" s="107"/>
      <c r="HQN2" s="107"/>
      <c r="HQO2" s="107"/>
      <c r="HQP2" s="107"/>
      <c r="HQQ2" s="107"/>
      <c r="HQR2" s="107"/>
      <c r="HQS2" s="107"/>
      <c r="HQT2" s="107"/>
      <c r="HQU2" s="107"/>
      <c r="HQV2" s="107"/>
      <c r="HQW2" s="107"/>
      <c r="HQX2" s="107"/>
      <c r="HQY2" s="107"/>
      <c r="HQZ2" s="107"/>
      <c r="HRA2" s="107"/>
      <c r="HRB2" s="107"/>
      <c r="HRC2" s="107"/>
      <c r="HRD2" s="107"/>
      <c r="HRE2" s="107"/>
      <c r="HRF2" s="107"/>
      <c r="HRG2" s="107"/>
      <c r="HRH2" s="107"/>
      <c r="HRI2" s="107"/>
      <c r="HRJ2" s="107"/>
      <c r="HRK2" s="107"/>
      <c r="HRL2" s="107"/>
      <c r="HRM2" s="107"/>
      <c r="HRN2" s="107"/>
      <c r="HRO2" s="107"/>
      <c r="HRP2" s="107"/>
      <c r="HRQ2" s="107"/>
      <c r="HRR2" s="107"/>
      <c r="HRS2" s="107"/>
      <c r="HRT2" s="107"/>
      <c r="HRU2" s="107"/>
      <c r="HRV2" s="107"/>
      <c r="HRW2" s="107"/>
      <c r="HRX2" s="107"/>
      <c r="HRY2" s="107"/>
      <c r="HRZ2" s="107"/>
      <c r="HSA2" s="107"/>
      <c r="HSB2" s="107"/>
      <c r="HSC2" s="107"/>
      <c r="HSD2" s="107"/>
      <c r="HSE2" s="107"/>
      <c r="HSF2" s="107"/>
      <c r="HSG2" s="107"/>
      <c r="HSH2" s="107"/>
      <c r="HSI2" s="107"/>
      <c r="HSJ2" s="107"/>
      <c r="HSK2" s="107"/>
      <c r="HSL2" s="107"/>
      <c r="HSM2" s="107"/>
      <c r="HSN2" s="107"/>
      <c r="HSO2" s="107"/>
      <c r="HSP2" s="107"/>
      <c r="HSQ2" s="107"/>
      <c r="HSR2" s="107"/>
      <c r="HSS2" s="107"/>
      <c r="HST2" s="107"/>
      <c r="HSU2" s="107"/>
      <c r="HSV2" s="107"/>
      <c r="HSW2" s="107"/>
      <c r="HSX2" s="107"/>
      <c r="HSY2" s="107"/>
      <c r="HSZ2" s="107"/>
      <c r="HTA2" s="107"/>
      <c r="HTB2" s="107"/>
      <c r="HTC2" s="107"/>
      <c r="HTD2" s="107"/>
      <c r="HTE2" s="107"/>
      <c r="HTF2" s="107"/>
      <c r="HTG2" s="107"/>
      <c r="HTH2" s="107"/>
      <c r="HTI2" s="107"/>
      <c r="HTJ2" s="107"/>
      <c r="HTK2" s="107"/>
      <c r="HTL2" s="107"/>
      <c r="HTM2" s="107"/>
      <c r="HTN2" s="107"/>
      <c r="HTO2" s="107"/>
      <c r="HTP2" s="107"/>
      <c r="HTQ2" s="107"/>
      <c r="HTR2" s="107"/>
      <c r="HTS2" s="107"/>
      <c r="HTT2" s="107"/>
      <c r="HTU2" s="107"/>
      <c r="HTV2" s="107"/>
      <c r="HTW2" s="107"/>
      <c r="HTX2" s="107"/>
      <c r="HTY2" s="107"/>
      <c r="HTZ2" s="107"/>
      <c r="HUA2" s="107"/>
      <c r="HUB2" s="107"/>
      <c r="HUC2" s="107"/>
      <c r="HUD2" s="107"/>
      <c r="HUE2" s="107"/>
      <c r="HUF2" s="107"/>
      <c r="HUG2" s="107"/>
      <c r="HUH2" s="107"/>
      <c r="HUI2" s="107"/>
      <c r="HUJ2" s="107"/>
      <c r="HUK2" s="107"/>
      <c r="HUL2" s="107"/>
      <c r="HUM2" s="107"/>
      <c r="HUN2" s="107"/>
      <c r="HUO2" s="107"/>
      <c r="HUP2" s="107"/>
      <c r="HUQ2" s="107"/>
      <c r="HUR2" s="107"/>
      <c r="HUS2" s="107"/>
      <c r="HUT2" s="107"/>
      <c r="HUU2" s="107"/>
      <c r="HUV2" s="107"/>
      <c r="HUW2" s="107"/>
      <c r="HUX2" s="107"/>
      <c r="HUY2" s="107"/>
      <c r="HUZ2" s="107"/>
      <c r="HVA2" s="107"/>
      <c r="HVB2" s="107"/>
      <c r="HVC2" s="107"/>
      <c r="HVD2" s="107"/>
      <c r="HVE2" s="107"/>
      <c r="HVF2" s="107"/>
      <c r="HVG2" s="107"/>
      <c r="HVH2" s="107"/>
      <c r="HVI2" s="107"/>
      <c r="HVJ2" s="107"/>
      <c r="HVK2" s="107"/>
      <c r="HVL2" s="107"/>
      <c r="HVM2" s="107"/>
      <c r="HVN2" s="107"/>
      <c r="HVO2" s="107"/>
      <c r="HVP2" s="107"/>
      <c r="HVQ2" s="107"/>
      <c r="HVR2" s="107"/>
      <c r="HVS2" s="107"/>
      <c r="HVT2" s="107"/>
      <c r="HVU2" s="107"/>
      <c r="HVV2" s="107"/>
      <c r="HVW2" s="107"/>
      <c r="HVX2" s="107"/>
      <c r="HVY2" s="107"/>
      <c r="HVZ2" s="107"/>
      <c r="HWA2" s="107"/>
      <c r="HWB2" s="107"/>
      <c r="HWC2" s="107"/>
      <c r="HWD2" s="107"/>
      <c r="HWE2" s="107"/>
      <c r="HWF2" s="107"/>
      <c r="HWG2" s="107"/>
      <c r="HWH2" s="107"/>
      <c r="HWI2" s="107"/>
      <c r="HWJ2" s="107"/>
      <c r="HWK2" s="107"/>
      <c r="HWL2" s="107"/>
      <c r="HWM2" s="107"/>
      <c r="HWN2" s="107"/>
      <c r="HWO2" s="107"/>
      <c r="HWP2" s="107"/>
      <c r="HWQ2" s="107"/>
      <c r="HWR2" s="107"/>
      <c r="HWS2" s="107"/>
      <c r="HWT2" s="107"/>
      <c r="HWU2" s="107"/>
      <c r="HWV2" s="107"/>
      <c r="HWW2" s="107"/>
      <c r="HWX2" s="107"/>
      <c r="HWY2" s="107"/>
      <c r="HWZ2" s="107"/>
      <c r="HXA2" s="107"/>
      <c r="HXB2" s="107"/>
      <c r="HXC2" s="107"/>
      <c r="HXD2" s="107"/>
      <c r="HXE2" s="107"/>
      <c r="HXF2" s="107"/>
      <c r="HXG2" s="107"/>
      <c r="HXH2" s="107"/>
      <c r="HXI2" s="107"/>
      <c r="HXJ2" s="107"/>
      <c r="HXK2" s="107"/>
      <c r="HXL2" s="107"/>
      <c r="HXM2" s="107"/>
      <c r="HXN2" s="107"/>
      <c r="HXO2" s="107"/>
      <c r="HXP2" s="107"/>
      <c r="HXQ2" s="107"/>
      <c r="HXR2" s="107"/>
      <c r="HXS2" s="107"/>
      <c r="HXT2" s="107"/>
      <c r="HXU2" s="107"/>
      <c r="HXV2" s="107"/>
      <c r="HXW2" s="107"/>
      <c r="HXX2" s="107"/>
      <c r="HXY2" s="107"/>
      <c r="HXZ2" s="107"/>
      <c r="HYA2" s="107"/>
      <c r="HYB2" s="107"/>
      <c r="HYC2" s="107"/>
      <c r="HYD2" s="107"/>
      <c r="HYE2" s="107"/>
      <c r="HYF2" s="107"/>
      <c r="HYG2" s="107"/>
      <c r="HYH2" s="107"/>
      <c r="HYI2" s="107"/>
      <c r="HYJ2" s="107"/>
      <c r="HYK2" s="107"/>
      <c r="HYL2" s="107"/>
      <c r="HYM2" s="107"/>
      <c r="HYN2" s="107"/>
      <c r="HYO2" s="107"/>
      <c r="HYP2" s="107"/>
      <c r="HYQ2" s="107"/>
      <c r="HYR2" s="107"/>
      <c r="HYS2" s="107"/>
      <c r="HYT2" s="107"/>
      <c r="HYU2" s="107"/>
      <c r="HYV2" s="107"/>
      <c r="HYW2" s="107"/>
      <c r="HYX2" s="107"/>
      <c r="HYY2" s="107"/>
      <c r="HYZ2" s="107"/>
      <c r="HZA2" s="107"/>
      <c r="HZB2" s="107"/>
      <c r="HZC2" s="107"/>
      <c r="HZD2" s="107"/>
      <c r="HZE2" s="107"/>
      <c r="HZF2" s="107"/>
      <c r="HZG2" s="107"/>
      <c r="HZH2" s="107"/>
      <c r="HZI2" s="107"/>
      <c r="HZJ2" s="107"/>
      <c r="HZK2" s="107"/>
      <c r="HZL2" s="107"/>
      <c r="HZM2" s="107"/>
      <c r="HZN2" s="107"/>
      <c r="HZO2" s="107"/>
      <c r="HZP2" s="107"/>
      <c r="HZQ2" s="107"/>
      <c r="HZR2" s="107"/>
      <c r="HZS2" s="107"/>
      <c r="HZT2" s="107"/>
      <c r="HZU2" s="107"/>
      <c r="HZV2" s="107"/>
      <c r="HZW2" s="107"/>
      <c r="HZX2" s="107"/>
      <c r="HZY2" s="107"/>
      <c r="HZZ2" s="107"/>
      <c r="IAA2" s="107"/>
      <c r="IAB2" s="107"/>
      <c r="IAC2" s="107"/>
      <c r="IAD2" s="107"/>
      <c r="IAE2" s="107"/>
      <c r="IAF2" s="107"/>
      <c r="IAG2" s="107"/>
      <c r="IAH2" s="107"/>
      <c r="IAI2" s="107"/>
      <c r="IAJ2" s="107"/>
      <c r="IAK2" s="107"/>
      <c r="IAL2" s="107"/>
      <c r="IAM2" s="107"/>
      <c r="IAN2" s="107"/>
      <c r="IAO2" s="107"/>
      <c r="IAP2" s="107"/>
      <c r="IAQ2" s="107"/>
      <c r="IAR2" s="107"/>
      <c r="IAS2" s="107"/>
      <c r="IAT2" s="107"/>
      <c r="IAU2" s="107"/>
      <c r="IAV2" s="107"/>
      <c r="IAW2" s="107"/>
      <c r="IAX2" s="107"/>
      <c r="IAY2" s="107"/>
      <c r="IAZ2" s="107"/>
      <c r="IBA2" s="107"/>
      <c r="IBB2" s="107"/>
      <c r="IBC2" s="107"/>
      <c r="IBD2" s="107"/>
      <c r="IBE2" s="107"/>
      <c r="IBF2" s="107"/>
      <c r="IBG2" s="107"/>
      <c r="IBH2" s="107"/>
      <c r="IBI2" s="107"/>
      <c r="IBJ2" s="107"/>
      <c r="IBK2" s="107"/>
      <c r="IBL2" s="107"/>
      <c r="IBM2" s="107"/>
      <c r="IBN2" s="107"/>
      <c r="IBO2" s="107"/>
      <c r="IBP2" s="107"/>
      <c r="IBQ2" s="107"/>
      <c r="IBR2" s="107"/>
      <c r="IBS2" s="107"/>
      <c r="IBT2" s="107"/>
      <c r="IBU2" s="107"/>
      <c r="IBV2" s="107"/>
      <c r="IBW2" s="107"/>
      <c r="IBX2" s="107"/>
      <c r="IBY2" s="107"/>
      <c r="IBZ2" s="107"/>
      <c r="ICA2" s="107"/>
      <c r="ICB2" s="107"/>
      <c r="ICC2" s="107"/>
      <c r="ICD2" s="107"/>
      <c r="ICE2" s="107"/>
      <c r="ICF2" s="107"/>
      <c r="ICG2" s="107"/>
      <c r="ICH2" s="107"/>
      <c r="ICI2" s="107"/>
      <c r="ICJ2" s="107"/>
      <c r="ICK2" s="107"/>
      <c r="ICL2" s="107"/>
      <c r="ICM2" s="107"/>
      <c r="ICN2" s="107"/>
      <c r="ICO2" s="107"/>
      <c r="ICP2" s="107"/>
      <c r="ICQ2" s="107"/>
      <c r="ICR2" s="107"/>
      <c r="ICS2" s="107"/>
      <c r="ICT2" s="107"/>
      <c r="ICU2" s="107"/>
      <c r="ICV2" s="107"/>
      <c r="ICW2" s="107"/>
      <c r="ICX2" s="107"/>
      <c r="ICY2" s="107"/>
      <c r="ICZ2" s="107"/>
      <c r="IDA2" s="107"/>
      <c r="IDB2" s="107"/>
      <c r="IDC2" s="107"/>
      <c r="IDD2" s="107"/>
      <c r="IDE2" s="107"/>
      <c r="IDF2" s="107"/>
      <c r="IDG2" s="107"/>
      <c r="IDH2" s="107"/>
      <c r="IDI2" s="107"/>
      <c r="IDJ2" s="107"/>
      <c r="IDK2" s="107"/>
      <c r="IDL2" s="107"/>
      <c r="IDM2" s="107"/>
      <c r="IDN2" s="107"/>
      <c r="IDO2" s="107"/>
      <c r="IDP2" s="107"/>
      <c r="IDQ2" s="107"/>
      <c r="IDR2" s="107"/>
      <c r="IDS2" s="107"/>
      <c r="IDT2" s="107"/>
      <c r="IDU2" s="107"/>
      <c r="IDV2" s="107"/>
      <c r="IDW2" s="107"/>
      <c r="IDX2" s="107"/>
      <c r="IDY2" s="107"/>
      <c r="IDZ2" s="107"/>
      <c r="IEA2" s="107"/>
      <c r="IEB2" s="107"/>
      <c r="IEC2" s="107"/>
      <c r="IED2" s="107"/>
      <c r="IEE2" s="107"/>
      <c r="IEF2" s="107"/>
      <c r="IEG2" s="107"/>
      <c r="IEH2" s="107"/>
      <c r="IEI2" s="107"/>
      <c r="IEJ2" s="107"/>
      <c r="IEK2" s="107"/>
      <c r="IEL2" s="107"/>
      <c r="IEM2" s="107"/>
      <c r="IEN2" s="107"/>
      <c r="IEO2" s="107"/>
      <c r="IEP2" s="107"/>
      <c r="IEQ2" s="107"/>
      <c r="IER2" s="107"/>
      <c r="IES2" s="107"/>
      <c r="IET2" s="107"/>
      <c r="IEU2" s="107"/>
      <c r="IEV2" s="107"/>
      <c r="IEW2" s="107"/>
      <c r="IEX2" s="107"/>
      <c r="IEY2" s="107"/>
      <c r="IEZ2" s="107"/>
      <c r="IFA2" s="107"/>
      <c r="IFB2" s="107"/>
      <c r="IFC2" s="107"/>
      <c r="IFD2" s="107"/>
      <c r="IFE2" s="107"/>
      <c r="IFF2" s="107"/>
      <c r="IFG2" s="107"/>
      <c r="IFH2" s="107"/>
      <c r="IFI2" s="107"/>
      <c r="IFJ2" s="107"/>
      <c r="IFK2" s="107"/>
      <c r="IFL2" s="107"/>
      <c r="IFM2" s="107"/>
      <c r="IFN2" s="107"/>
      <c r="IFO2" s="107"/>
      <c r="IFP2" s="107"/>
      <c r="IFQ2" s="107"/>
      <c r="IFR2" s="107"/>
      <c r="IFS2" s="107"/>
      <c r="IFT2" s="107"/>
      <c r="IFU2" s="107"/>
      <c r="IFV2" s="107"/>
      <c r="IFW2" s="107"/>
      <c r="IFX2" s="107"/>
      <c r="IFY2" s="107"/>
      <c r="IFZ2" s="107"/>
      <c r="IGA2" s="107"/>
      <c r="IGB2" s="107"/>
      <c r="IGC2" s="107"/>
      <c r="IGD2" s="107"/>
      <c r="IGE2" s="107"/>
      <c r="IGF2" s="107"/>
      <c r="IGG2" s="107"/>
      <c r="IGH2" s="107"/>
      <c r="IGI2" s="107"/>
      <c r="IGJ2" s="107"/>
      <c r="IGK2" s="107"/>
      <c r="IGL2" s="107"/>
      <c r="IGM2" s="107"/>
      <c r="IGN2" s="107"/>
      <c r="IGO2" s="107"/>
      <c r="IGP2" s="107"/>
      <c r="IGQ2" s="107"/>
      <c r="IGR2" s="107"/>
      <c r="IGS2" s="107"/>
      <c r="IGT2" s="107"/>
      <c r="IGU2" s="107"/>
      <c r="IGV2" s="107"/>
      <c r="IGW2" s="107"/>
      <c r="IGX2" s="107"/>
      <c r="IGY2" s="107"/>
      <c r="IGZ2" s="107"/>
      <c r="IHA2" s="107"/>
      <c r="IHB2" s="107"/>
      <c r="IHC2" s="107"/>
      <c r="IHD2" s="107"/>
      <c r="IHE2" s="107"/>
      <c r="IHF2" s="107"/>
      <c r="IHG2" s="107"/>
      <c r="IHH2" s="107"/>
      <c r="IHI2" s="107"/>
      <c r="IHJ2" s="107"/>
      <c r="IHK2" s="107"/>
      <c r="IHL2" s="107"/>
      <c r="IHM2" s="107"/>
      <c r="IHN2" s="107"/>
      <c r="IHO2" s="107"/>
      <c r="IHP2" s="107"/>
      <c r="IHQ2" s="107"/>
      <c r="IHR2" s="107"/>
      <c r="IHS2" s="107"/>
      <c r="IHT2" s="107"/>
      <c r="IHU2" s="107"/>
      <c r="IHV2" s="107"/>
      <c r="IHW2" s="107"/>
      <c r="IHX2" s="107"/>
      <c r="IHY2" s="107"/>
      <c r="IHZ2" s="107"/>
      <c r="IIA2" s="107"/>
      <c r="IIB2" s="107"/>
      <c r="IIC2" s="107"/>
      <c r="IID2" s="107"/>
      <c r="IIE2" s="107"/>
      <c r="IIF2" s="107"/>
      <c r="IIG2" s="107"/>
      <c r="IIH2" s="107"/>
      <c r="III2" s="107"/>
      <c r="IIJ2" s="107"/>
      <c r="IIK2" s="107"/>
      <c r="IIL2" s="107"/>
      <c r="IIM2" s="107"/>
      <c r="IIN2" s="107"/>
      <c r="IIO2" s="107"/>
      <c r="IIP2" s="107"/>
      <c r="IIQ2" s="107"/>
      <c r="IIR2" s="107"/>
      <c r="IIS2" s="107"/>
      <c r="IIT2" s="107"/>
      <c r="IIU2" s="107"/>
      <c r="IIV2" s="107"/>
      <c r="IIW2" s="107"/>
      <c r="IIX2" s="107"/>
      <c r="IIY2" s="107"/>
      <c r="IIZ2" s="107"/>
      <c r="IJA2" s="107"/>
      <c r="IJB2" s="107"/>
      <c r="IJC2" s="107"/>
      <c r="IJD2" s="107"/>
      <c r="IJE2" s="107"/>
      <c r="IJF2" s="107"/>
      <c r="IJG2" s="107"/>
      <c r="IJH2" s="107"/>
      <c r="IJI2" s="107"/>
      <c r="IJJ2" s="107"/>
      <c r="IJK2" s="107"/>
      <c r="IJL2" s="107"/>
      <c r="IJM2" s="107"/>
      <c r="IJN2" s="107"/>
      <c r="IJO2" s="107"/>
      <c r="IJP2" s="107"/>
      <c r="IJQ2" s="107"/>
      <c r="IJR2" s="107"/>
      <c r="IJS2" s="107"/>
      <c r="IJT2" s="107"/>
      <c r="IJU2" s="107"/>
      <c r="IJV2" s="107"/>
      <c r="IJW2" s="107"/>
      <c r="IJX2" s="107"/>
      <c r="IJY2" s="107"/>
      <c r="IJZ2" s="107"/>
      <c r="IKA2" s="107"/>
      <c r="IKB2" s="107"/>
      <c r="IKC2" s="107"/>
      <c r="IKD2" s="107"/>
      <c r="IKE2" s="107"/>
      <c r="IKF2" s="107"/>
      <c r="IKG2" s="107"/>
      <c r="IKH2" s="107"/>
      <c r="IKI2" s="107"/>
      <c r="IKJ2" s="107"/>
      <c r="IKK2" s="107"/>
      <c r="IKL2" s="107"/>
      <c r="IKM2" s="107"/>
      <c r="IKN2" s="107"/>
      <c r="IKO2" s="107"/>
      <c r="IKP2" s="107"/>
      <c r="IKQ2" s="107"/>
      <c r="IKR2" s="107"/>
      <c r="IKS2" s="107"/>
      <c r="IKT2" s="107"/>
      <c r="IKU2" s="107"/>
      <c r="IKV2" s="107"/>
      <c r="IKW2" s="107"/>
      <c r="IKX2" s="107"/>
      <c r="IKY2" s="107"/>
      <c r="IKZ2" s="107"/>
      <c r="ILA2" s="107"/>
      <c r="ILB2" s="107"/>
      <c r="ILC2" s="107"/>
      <c r="ILD2" s="107"/>
      <c r="ILE2" s="107"/>
      <c r="ILF2" s="107"/>
      <c r="ILG2" s="107"/>
      <c r="ILH2" s="107"/>
      <c r="ILI2" s="107"/>
      <c r="ILJ2" s="107"/>
      <c r="ILK2" s="107"/>
      <c r="ILL2" s="107"/>
      <c r="ILM2" s="107"/>
      <c r="ILN2" s="107"/>
      <c r="ILO2" s="107"/>
      <c r="ILP2" s="107"/>
      <c r="ILQ2" s="107"/>
      <c r="ILR2" s="107"/>
      <c r="ILS2" s="107"/>
      <c r="ILT2" s="107"/>
      <c r="ILU2" s="107"/>
      <c r="ILV2" s="107"/>
      <c r="ILW2" s="107"/>
      <c r="ILX2" s="107"/>
      <c r="ILY2" s="107"/>
      <c r="ILZ2" s="107"/>
      <c r="IMA2" s="107"/>
      <c r="IMB2" s="107"/>
      <c r="IMC2" s="107"/>
      <c r="IMD2" s="107"/>
      <c r="IME2" s="107"/>
      <c r="IMF2" s="107"/>
      <c r="IMG2" s="107"/>
      <c r="IMH2" s="107"/>
      <c r="IMI2" s="107"/>
      <c r="IMJ2" s="107"/>
      <c r="IMK2" s="107"/>
      <c r="IML2" s="107"/>
      <c r="IMM2" s="107"/>
      <c r="IMN2" s="107"/>
      <c r="IMO2" s="107"/>
      <c r="IMP2" s="107"/>
      <c r="IMQ2" s="107"/>
      <c r="IMR2" s="107"/>
      <c r="IMS2" s="107"/>
      <c r="IMT2" s="107"/>
      <c r="IMU2" s="107"/>
      <c r="IMV2" s="107"/>
      <c r="IMW2" s="107"/>
      <c r="IMX2" s="107"/>
      <c r="IMY2" s="107"/>
      <c r="IMZ2" s="107"/>
      <c r="INA2" s="107"/>
      <c r="INB2" s="107"/>
      <c r="INC2" s="107"/>
      <c r="IND2" s="107"/>
      <c r="INE2" s="107"/>
      <c r="INF2" s="107"/>
      <c r="ING2" s="107"/>
      <c r="INH2" s="107"/>
      <c r="INI2" s="107"/>
      <c r="INJ2" s="107"/>
      <c r="INK2" s="107"/>
      <c r="INL2" s="107"/>
      <c r="INM2" s="107"/>
      <c r="INN2" s="107"/>
      <c r="INO2" s="107"/>
      <c r="INP2" s="107"/>
      <c r="INQ2" s="107"/>
      <c r="INR2" s="107"/>
      <c r="INS2" s="107"/>
      <c r="INT2" s="107"/>
      <c r="INU2" s="107"/>
      <c r="INV2" s="107"/>
      <c r="INW2" s="107"/>
      <c r="INX2" s="107"/>
      <c r="INY2" s="107"/>
      <c r="INZ2" s="107"/>
      <c r="IOA2" s="107"/>
      <c r="IOB2" s="107"/>
      <c r="IOC2" s="107"/>
      <c r="IOD2" s="107"/>
      <c r="IOE2" s="107"/>
      <c r="IOF2" s="107"/>
      <c r="IOG2" s="107"/>
      <c r="IOH2" s="107"/>
      <c r="IOI2" s="107"/>
      <c r="IOJ2" s="107"/>
      <c r="IOK2" s="107"/>
      <c r="IOL2" s="107"/>
      <c r="IOM2" s="107"/>
      <c r="ION2" s="107"/>
      <c r="IOO2" s="107"/>
      <c r="IOP2" s="107"/>
      <c r="IOQ2" s="107"/>
      <c r="IOR2" s="107"/>
      <c r="IOS2" s="107"/>
      <c r="IOT2" s="107"/>
      <c r="IOU2" s="107"/>
      <c r="IOV2" s="107"/>
      <c r="IOW2" s="107"/>
      <c r="IOX2" s="107"/>
      <c r="IOY2" s="107"/>
      <c r="IOZ2" s="107"/>
      <c r="IPA2" s="107"/>
      <c r="IPB2" s="107"/>
      <c r="IPC2" s="107"/>
      <c r="IPD2" s="107"/>
      <c r="IPE2" s="107"/>
      <c r="IPF2" s="107"/>
      <c r="IPG2" s="107"/>
      <c r="IPH2" s="107"/>
      <c r="IPI2" s="107"/>
      <c r="IPJ2" s="107"/>
      <c r="IPK2" s="107"/>
      <c r="IPL2" s="107"/>
      <c r="IPM2" s="107"/>
      <c r="IPN2" s="107"/>
      <c r="IPO2" s="107"/>
      <c r="IPP2" s="107"/>
      <c r="IPQ2" s="107"/>
      <c r="IPR2" s="107"/>
      <c r="IPS2" s="107"/>
      <c r="IPT2" s="107"/>
      <c r="IPU2" s="107"/>
      <c r="IPV2" s="107"/>
      <c r="IPW2" s="107"/>
      <c r="IPX2" s="107"/>
      <c r="IPY2" s="107"/>
      <c r="IPZ2" s="107"/>
      <c r="IQA2" s="107"/>
      <c r="IQB2" s="107"/>
      <c r="IQC2" s="107"/>
      <c r="IQD2" s="107"/>
      <c r="IQE2" s="107"/>
      <c r="IQF2" s="107"/>
      <c r="IQG2" s="107"/>
      <c r="IQH2" s="107"/>
      <c r="IQI2" s="107"/>
      <c r="IQJ2" s="107"/>
      <c r="IQK2" s="107"/>
      <c r="IQL2" s="107"/>
      <c r="IQM2" s="107"/>
      <c r="IQN2" s="107"/>
      <c r="IQO2" s="107"/>
      <c r="IQP2" s="107"/>
      <c r="IQQ2" s="107"/>
      <c r="IQR2" s="107"/>
      <c r="IQS2" s="107"/>
      <c r="IQT2" s="107"/>
      <c r="IQU2" s="107"/>
      <c r="IQV2" s="107"/>
      <c r="IQW2" s="107"/>
      <c r="IQX2" s="107"/>
      <c r="IQY2" s="107"/>
      <c r="IQZ2" s="107"/>
      <c r="IRA2" s="107"/>
      <c r="IRB2" s="107"/>
      <c r="IRC2" s="107"/>
      <c r="IRD2" s="107"/>
      <c r="IRE2" s="107"/>
      <c r="IRF2" s="107"/>
      <c r="IRG2" s="107"/>
      <c r="IRH2" s="107"/>
      <c r="IRI2" s="107"/>
      <c r="IRJ2" s="107"/>
      <c r="IRK2" s="107"/>
      <c r="IRL2" s="107"/>
      <c r="IRM2" s="107"/>
      <c r="IRN2" s="107"/>
      <c r="IRO2" s="107"/>
      <c r="IRP2" s="107"/>
      <c r="IRQ2" s="107"/>
      <c r="IRR2" s="107"/>
      <c r="IRS2" s="107"/>
      <c r="IRT2" s="107"/>
      <c r="IRU2" s="107"/>
      <c r="IRV2" s="107"/>
      <c r="IRW2" s="107"/>
      <c r="IRX2" s="107"/>
      <c r="IRY2" s="107"/>
      <c r="IRZ2" s="107"/>
      <c r="ISA2" s="107"/>
      <c r="ISB2" s="107"/>
      <c r="ISC2" s="107"/>
      <c r="ISD2" s="107"/>
      <c r="ISE2" s="107"/>
      <c r="ISF2" s="107"/>
      <c r="ISG2" s="107"/>
      <c r="ISH2" s="107"/>
      <c r="ISI2" s="107"/>
      <c r="ISJ2" s="107"/>
      <c r="ISK2" s="107"/>
      <c r="ISL2" s="107"/>
      <c r="ISM2" s="107"/>
      <c r="ISN2" s="107"/>
      <c r="ISO2" s="107"/>
      <c r="ISP2" s="107"/>
      <c r="ISQ2" s="107"/>
      <c r="ISR2" s="107"/>
      <c r="ISS2" s="107"/>
      <c r="IST2" s="107"/>
      <c r="ISU2" s="107"/>
      <c r="ISV2" s="107"/>
      <c r="ISW2" s="107"/>
      <c r="ISX2" s="107"/>
      <c r="ISY2" s="107"/>
      <c r="ISZ2" s="107"/>
      <c r="ITA2" s="107"/>
      <c r="ITB2" s="107"/>
      <c r="ITC2" s="107"/>
      <c r="ITD2" s="107"/>
      <c r="ITE2" s="107"/>
      <c r="ITF2" s="107"/>
      <c r="ITG2" s="107"/>
      <c r="ITH2" s="107"/>
      <c r="ITI2" s="107"/>
      <c r="ITJ2" s="107"/>
      <c r="ITK2" s="107"/>
      <c r="ITL2" s="107"/>
      <c r="ITM2" s="107"/>
      <c r="ITN2" s="107"/>
      <c r="ITO2" s="107"/>
      <c r="ITP2" s="107"/>
      <c r="ITQ2" s="107"/>
      <c r="ITR2" s="107"/>
      <c r="ITS2" s="107"/>
      <c r="ITT2" s="107"/>
      <c r="ITU2" s="107"/>
      <c r="ITV2" s="107"/>
      <c r="ITW2" s="107"/>
      <c r="ITX2" s="107"/>
      <c r="ITY2" s="107"/>
      <c r="ITZ2" s="107"/>
      <c r="IUA2" s="107"/>
      <c r="IUB2" s="107"/>
      <c r="IUC2" s="107"/>
      <c r="IUD2" s="107"/>
      <c r="IUE2" s="107"/>
      <c r="IUF2" s="107"/>
      <c r="IUG2" s="107"/>
      <c r="IUH2" s="107"/>
      <c r="IUI2" s="107"/>
      <c r="IUJ2" s="107"/>
      <c r="IUK2" s="107"/>
      <c r="IUL2" s="107"/>
      <c r="IUM2" s="107"/>
      <c r="IUN2" s="107"/>
      <c r="IUO2" s="107"/>
      <c r="IUP2" s="107"/>
      <c r="IUQ2" s="107"/>
      <c r="IUR2" s="107"/>
      <c r="IUS2" s="107"/>
      <c r="IUT2" s="107"/>
      <c r="IUU2" s="107"/>
      <c r="IUV2" s="107"/>
      <c r="IUW2" s="107"/>
      <c r="IUX2" s="107"/>
      <c r="IUY2" s="107"/>
      <c r="IUZ2" s="107"/>
      <c r="IVA2" s="107"/>
      <c r="IVB2" s="107"/>
      <c r="IVC2" s="107"/>
      <c r="IVD2" s="107"/>
      <c r="IVE2" s="107"/>
      <c r="IVF2" s="107"/>
      <c r="IVG2" s="107"/>
      <c r="IVH2" s="107"/>
      <c r="IVI2" s="107"/>
      <c r="IVJ2" s="107"/>
      <c r="IVK2" s="107"/>
      <c r="IVL2" s="107"/>
      <c r="IVM2" s="107"/>
      <c r="IVN2" s="107"/>
      <c r="IVO2" s="107"/>
      <c r="IVP2" s="107"/>
      <c r="IVQ2" s="107"/>
      <c r="IVR2" s="107"/>
      <c r="IVS2" s="107"/>
      <c r="IVT2" s="107"/>
      <c r="IVU2" s="107"/>
      <c r="IVV2" s="107"/>
      <c r="IVW2" s="107"/>
      <c r="IVX2" s="107"/>
      <c r="IVY2" s="107"/>
      <c r="IVZ2" s="107"/>
      <c r="IWA2" s="107"/>
      <c r="IWB2" s="107"/>
      <c r="IWC2" s="107"/>
      <c r="IWD2" s="107"/>
      <c r="IWE2" s="107"/>
      <c r="IWF2" s="107"/>
      <c r="IWG2" s="107"/>
      <c r="IWH2" s="107"/>
      <c r="IWI2" s="107"/>
      <c r="IWJ2" s="107"/>
      <c r="IWK2" s="107"/>
      <c r="IWL2" s="107"/>
      <c r="IWM2" s="107"/>
      <c r="IWN2" s="107"/>
      <c r="IWO2" s="107"/>
      <c r="IWP2" s="107"/>
      <c r="IWQ2" s="107"/>
      <c r="IWR2" s="107"/>
      <c r="IWS2" s="107"/>
      <c r="IWT2" s="107"/>
      <c r="IWU2" s="107"/>
      <c r="IWV2" s="107"/>
      <c r="IWW2" s="107"/>
      <c r="IWX2" s="107"/>
      <c r="IWY2" s="107"/>
      <c r="IWZ2" s="107"/>
      <c r="IXA2" s="107"/>
      <c r="IXB2" s="107"/>
      <c r="IXC2" s="107"/>
      <c r="IXD2" s="107"/>
      <c r="IXE2" s="107"/>
      <c r="IXF2" s="107"/>
      <c r="IXG2" s="107"/>
      <c r="IXH2" s="107"/>
      <c r="IXI2" s="107"/>
      <c r="IXJ2" s="107"/>
      <c r="IXK2" s="107"/>
      <c r="IXL2" s="107"/>
      <c r="IXM2" s="107"/>
      <c r="IXN2" s="107"/>
      <c r="IXO2" s="107"/>
      <c r="IXP2" s="107"/>
      <c r="IXQ2" s="107"/>
      <c r="IXR2" s="107"/>
      <c r="IXS2" s="107"/>
      <c r="IXT2" s="107"/>
      <c r="IXU2" s="107"/>
      <c r="IXV2" s="107"/>
      <c r="IXW2" s="107"/>
      <c r="IXX2" s="107"/>
      <c r="IXY2" s="107"/>
      <c r="IXZ2" s="107"/>
      <c r="IYA2" s="107"/>
      <c r="IYB2" s="107"/>
      <c r="IYC2" s="107"/>
      <c r="IYD2" s="107"/>
      <c r="IYE2" s="107"/>
      <c r="IYF2" s="107"/>
      <c r="IYG2" s="107"/>
      <c r="IYH2" s="107"/>
      <c r="IYI2" s="107"/>
      <c r="IYJ2" s="107"/>
      <c r="IYK2" s="107"/>
      <c r="IYL2" s="107"/>
      <c r="IYM2" s="107"/>
      <c r="IYN2" s="107"/>
      <c r="IYO2" s="107"/>
      <c r="IYP2" s="107"/>
      <c r="IYQ2" s="107"/>
      <c r="IYR2" s="107"/>
      <c r="IYS2" s="107"/>
      <c r="IYT2" s="107"/>
      <c r="IYU2" s="107"/>
      <c r="IYV2" s="107"/>
      <c r="IYW2" s="107"/>
      <c r="IYX2" s="107"/>
      <c r="IYY2" s="107"/>
      <c r="IYZ2" s="107"/>
      <c r="IZA2" s="107"/>
      <c r="IZB2" s="107"/>
      <c r="IZC2" s="107"/>
      <c r="IZD2" s="107"/>
      <c r="IZE2" s="107"/>
      <c r="IZF2" s="107"/>
      <c r="IZG2" s="107"/>
      <c r="IZH2" s="107"/>
      <c r="IZI2" s="107"/>
      <c r="IZJ2" s="107"/>
      <c r="IZK2" s="107"/>
      <c r="IZL2" s="107"/>
      <c r="IZM2" s="107"/>
      <c r="IZN2" s="107"/>
      <c r="IZO2" s="107"/>
      <c r="IZP2" s="107"/>
      <c r="IZQ2" s="107"/>
      <c r="IZR2" s="107"/>
      <c r="IZS2" s="107"/>
      <c r="IZT2" s="107"/>
      <c r="IZU2" s="107"/>
      <c r="IZV2" s="107"/>
      <c r="IZW2" s="107"/>
      <c r="IZX2" s="107"/>
      <c r="IZY2" s="107"/>
      <c r="IZZ2" s="107"/>
      <c r="JAA2" s="107"/>
      <c r="JAB2" s="107"/>
      <c r="JAC2" s="107"/>
      <c r="JAD2" s="107"/>
      <c r="JAE2" s="107"/>
      <c r="JAF2" s="107"/>
      <c r="JAG2" s="107"/>
      <c r="JAH2" s="107"/>
      <c r="JAI2" s="107"/>
      <c r="JAJ2" s="107"/>
      <c r="JAK2" s="107"/>
      <c r="JAL2" s="107"/>
      <c r="JAM2" s="107"/>
      <c r="JAN2" s="107"/>
      <c r="JAO2" s="107"/>
      <c r="JAP2" s="107"/>
      <c r="JAQ2" s="107"/>
      <c r="JAR2" s="107"/>
      <c r="JAS2" s="107"/>
      <c r="JAT2" s="107"/>
      <c r="JAU2" s="107"/>
      <c r="JAV2" s="107"/>
      <c r="JAW2" s="107"/>
      <c r="JAX2" s="107"/>
      <c r="JAY2" s="107"/>
      <c r="JAZ2" s="107"/>
      <c r="JBA2" s="107"/>
      <c r="JBB2" s="107"/>
      <c r="JBC2" s="107"/>
      <c r="JBD2" s="107"/>
      <c r="JBE2" s="107"/>
      <c r="JBF2" s="107"/>
      <c r="JBG2" s="107"/>
      <c r="JBH2" s="107"/>
      <c r="JBI2" s="107"/>
      <c r="JBJ2" s="107"/>
      <c r="JBK2" s="107"/>
      <c r="JBL2" s="107"/>
      <c r="JBM2" s="107"/>
      <c r="JBN2" s="107"/>
      <c r="JBO2" s="107"/>
      <c r="JBP2" s="107"/>
      <c r="JBQ2" s="107"/>
      <c r="JBR2" s="107"/>
      <c r="JBS2" s="107"/>
      <c r="JBT2" s="107"/>
      <c r="JBU2" s="107"/>
      <c r="JBV2" s="107"/>
      <c r="JBW2" s="107"/>
      <c r="JBX2" s="107"/>
      <c r="JBY2" s="107"/>
      <c r="JBZ2" s="107"/>
      <c r="JCA2" s="107"/>
      <c r="JCB2" s="107"/>
      <c r="JCC2" s="107"/>
      <c r="JCD2" s="107"/>
      <c r="JCE2" s="107"/>
      <c r="JCF2" s="107"/>
      <c r="JCG2" s="107"/>
      <c r="JCH2" s="107"/>
      <c r="JCI2" s="107"/>
      <c r="JCJ2" s="107"/>
      <c r="JCK2" s="107"/>
      <c r="JCL2" s="107"/>
      <c r="JCM2" s="107"/>
      <c r="JCN2" s="107"/>
      <c r="JCO2" s="107"/>
      <c r="JCP2" s="107"/>
      <c r="JCQ2" s="107"/>
      <c r="JCR2" s="107"/>
      <c r="JCS2" s="107"/>
      <c r="JCT2" s="107"/>
      <c r="JCU2" s="107"/>
      <c r="JCV2" s="107"/>
      <c r="JCW2" s="107"/>
      <c r="JCX2" s="107"/>
      <c r="JCY2" s="107"/>
      <c r="JCZ2" s="107"/>
      <c r="JDA2" s="107"/>
      <c r="JDB2" s="107"/>
      <c r="JDC2" s="107"/>
      <c r="JDD2" s="107"/>
      <c r="JDE2" s="107"/>
      <c r="JDF2" s="107"/>
      <c r="JDG2" s="107"/>
      <c r="JDH2" s="107"/>
      <c r="JDI2" s="107"/>
      <c r="JDJ2" s="107"/>
      <c r="JDK2" s="107"/>
      <c r="JDL2" s="107"/>
      <c r="JDM2" s="107"/>
      <c r="JDN2" s="107"/>
      <c r="JDO2" s="107"/>
      <c r="JDP2" s="107"/>
      <c r="JDQ2" s="107"/>
      <c r="JDR2" s="107"/>
      <c r="JDS2" s="107"/>
      <c r="JDT2" s="107"/>
      <c r="JDU2" s="107"/>
      <c r="JDV2" s="107"/>
      <c r="JDW2" s="107"/>
      <c r="JDX2" s="107"/>
      <c r="JDY2" s="107"/>
      <c r="JDZ2" s="107"/>
      <c r="JEA2" s="107"/>
      <c r="JEB2" s="107"/>
      <c r="JEC2" s="107"/>
      <c r="JED2" s="107"/>
      <c r="JEE2" s="107"/>
      <c r="JEF2" s="107"/>
      <c r="JEG2" s="107"/>
      <c r="JEH2" s="107"/>
      <c r="JEI2" s="107"/>
      <c r="JEJ2" s="107"/>
      <c r="JEK2" s="107"/>
      <c r="JEL2" s="107"/>
      <c r="JEM2" s="107"/>
      <c r="JEN2" s="107"/>
      <c r="JEO2" s="107"/>
      <c r="JEP2" s="107"/>
      <c r="JEQ2" s="107"/>
      <c r="JER2" s="107"/>
      <c r="JES2" s="107"/>
      <c r="JET2" s="107"/>
      <c r="JEU2" s="107"/>
      <c r="JEV2" s="107"/>
      <c r="JEW2" s="107"/>
      <c r="JEX2" s="107"/>
      <c r="JEY2" s="107"/>
      <c r="JEZ2" s="107"/>
      <c r="JFA2" s="107"/>
      <c r="JFB2" s="107"/>
      <c r="JFC2" s="107"/>
      <c r="JFD2" s="107"/>
      <c r="JFE2" s="107"/>
      <c r="JFF2" s="107"/>
      <c r="JFG2" s="107"/>
      <c r="JFH2" s="107"/>
      <c r="JFI2" s="107"/>
      <c r="JFJ2" s="107"/>
      <c r="JFK2" s="107"/>
      <c r="JFL2" s="107"/>
      <c r="JFM2" s="107"/>
      <c r="JFN2" s="107"/>
      <c r="JFO2" s="107"/>
      <c r="JFP2" s="107"/>
      <c r="JFQ2" s="107"/>
      <c r="JFR2" s="107"/>
      <c r="JFS2" s="107"/>
      <c r="JFT2" s="107"/>
      <c r="JFU2" s="107"/>
      <c r="JFV2" s="107"/>
      <c r="JFW2" s="107"/>
      <c r="JFX2" s="107"/>
      <c r="JFY2" s="107"/>
      <c r="JFZ2" s="107"/>
      <c r="JGA2" s="107"/>
      <c r="JGB2" s="107"/>
      <c r="JGC2" s="107"/>
      <c r="JGD2" s="107"/>
      <c r="JGE2" s="107"/>
      <c r="JGF2" s="107"/>
      <c r="JGG2" s="107"/>
      <c r="JGH2" s="107"/>
      <c r="JGI2" s="107"/>
      <c r="JGJ2" s="107"/>
      <c r="JGK2" s="107"/>
      <c r="JGL2" s="107"/>
      <c r="JGM2" s="107"/>
      <c r="JGN2" s="107"/>
      <c r="JGO2" s="107"/>
      <c r="JGP2" s="107"/>
      <c r="JGQ2" s="107"/>
      <c r="JGR2" s="107"/>
      <c r="JGS2" s="107"/>
      <c r="JGT2" s="107"/>
      <c r="JGU2" s="107"/>
      <c r="JGV2" s="107"/>
      <c r="JGW2" s="107"/>
      <c r="JGX2" s="107"/>
      <c r="JGY2" s="107"/>
      <c r="JGZ2" s="107"/>
      <c r="JHA2" s="107"/>
      <c r="JHB2" s="107"/>
      <c r="JHC2" s="107"/>
      <c r="JHD2" s="107"/>
      <c r="JHE2" s="107"/>
      <c r="JHF2" s="107"/>
      <c r="JHG2" s="107"/>
      <c r="JHH2" s="107"/>
      <c r="JHI2" s="107"/>
      <c r="JHJ2" s="107"/>
      <c r="JHK2" s="107"/>
      <c r="JHL2" s="107"/>
      <c r="JHM2" s="107"/>
      <c r="JHN2" s="107"/>
      <c r="JHO2" s="107"/>
      <c r="JHP2" s="107"/>
      <c r="JHQ2" s="107"/>
      <c r="JHR2" s="107"/>
      <c r="JHS2" s="107"/>
      <c r="JHT2" s="107"/>
      <c r="JHU2" s="107"/>
      <c r="JHV2" s="107"/>
      <c r="JHW2" s="107"/>
      <c r="JHX2" s="107"/>
      <c r="JHY2" s="107"/>
      <c r="JHZ2" s="107"/>
      <c r="JIA2" s="107"/>
      <c r="JIB2" s="107"/>
      <c r="JIC2" s="107"/>
      <c r="JID2" s="107"/>
      <c r="JIE2" s="107"/>
      <c r="JIF2" s="107"/>
      <c r="JIG2" s="107"/>
      <c r="JIH2" s="107"/>
      <c r="JII2" s="107"/>
      <c r="JIJ2" s="107"/>
      <c r="JIK2" s="107"/>
      <c r="JIL2" s="107"/>
      <c r="JIM2" s="107"/>
      <c r="JIN2" s="107"/>
      <c r="JIO2" s="107"/>
      <c r="JIP2" s="107"/>
      <c r="JIQ2" s="107"/>
      <c r="JIR2" s="107"/>
      <c r="JIS2" s="107"/>
      <c r="JIT2" s="107"/>
      <c r="JIU2" s="107"/>
      <c r="JIV2" s="107"/>
      <c r="JIW2" s="107"/>
      <c r="JIX2" s="107"/>
      <c r="JIY2" s="107"/>
      <c r="JIZ2" s="107"/>
      <c r="JJA2" s="107"/>
      <c r="JJB2" s="107"/>
      <c r="JJC2" s="107"/>
      <c r="JJD2" s="107"/>
      <c r="JJE2" s="107"/>
      <c r="JJF2" s="107"/>
      <c r="JJG2" s="107"/>
      <c r="JJH2" s="107"/>
      <c r="JJI2" s="107"/>
      <c r="JJJ2" s="107"/>
      <c r="JJK2" s="107"/>
      <c r="JJL2" s="107"/>
      <c r="JJM2" s="107"/>
      <c r="JJN2" s="107"/>
      <c r="JJO2" s="107"/>
      <c r="JJP2" s="107"/>
      <c r="JJQ2" s="107"/>
      <c r="JJR2" s="107"/>
      <c r="JJS2" s="107"/>
      <c r="JJT2" s="107"/>
      <c r="JJU2" s="107"/>
      <c r="JJV2" s="107"/>
      <c r="JJW2" s="107"/>
      <c r="JJX2" s="107"/>
      <c r="JJY2" s="107"/>
      <c r="JJZ2" s="107"/>
      <c r="JKA2" s="107"/>
      <c r="JKB2" s="107"/>
      <c r="JKC2" s="107"/>
      <c r="JKD2" s="107"/>
      <c r="JKE2" s="107"/>
      <c r="JKF2" s="107"/>
      <c r="JKG2" s="107"/>
      <c r="JKH2" s="107"/>
      <c r="JKI2" s="107"/>
      <c r="JKJ2" s="107"/>
      <c r="JKK2" s="107"/>
      <c r="JKL2" s="107"/>
      <c r="JKM2" s="107"/>
      <c r="JKN2" s="107"/>
      <c r="JKO2" s="107"/>
      <c r="JKP2" s="107"/>
      <c r="JKQ2" s="107"/>
      <c r="JKR2" s="107"/>
      <c r="JKS2" s="107"/>
      <c r="JKT2" s="107"/>
      <c r="JKU2" s="107"/>
      <c r="JKV2" s="107"/>
      <c r="JKW2" s="107"/>
      <c r="JKX2" s="107"/>
      <c r="JKY2" s="107"/>
      <c r="JKZ2" s="107"/>
      <c r="JLA2" s="107"/>
      <c r="JLB2" s="107"/>
      <c r="JLC2" s="107"/>
      <c r="JLD2" s="107"/>
      <c r="JLE2" s="107"/>
      <c r="JLF2" s="107"/>
      <c r="JLG2" s="107"/>
      <c r="JLH2" s="107"/>
      <c r="JLI2" s="107"/>
      <c r="JLJ2" s="107"/>
      <c r="JLK2" s="107"/>
      <c r="JLL2" s="107"/>
      <c r="JLM2" s="107"/>
      <c r="JLN2" s="107"/>
      <c r="JLO2" s="107"/>
      <c r="JLP2" s="107"/>
      <c r="JLQ2" s="107"/>
      <c r="JLR2" s="107"/>
      <c r="JLS2" s="107"/>
      <c r="JLT2" s="107"/>
      <c r="JLU2" s="107"/>
      <c r="JLV2" s="107"/>
      <c r="JLW2" s="107"/>
      <c r="JLX2" s="107"/>
      <c r="JLY2" s="107"/>
      <c r="JLZ2" s="107"/>
      <c r="JMA2" s="107"/>
      <c r="JMB2" s="107"/>
      <c r="JMC2" s="107"/>
      <c r="JMD2" s="107"/>
      <c r="JME2" s="107"/>
      <c r="JMF2" s="107"/>
      <c r="JMG2" s="107"/>
      <c r="JMH2" s="107"/>
      <c r="JMI2" s="107"/>
      <c r="JMJ2" s="107"/>
      <c r="JMK2" s="107"/>
      <c r="JML2" s="107"/>
      <c r="JMM2" s="107"/>
      <c r="JMN2" s="107"/>
      <c r="JMO2" s="107"/>
      <c r="JMP2" s="107"/>
      <c r="JMQ2" s="107"/>
      <c r="JMR2" s="107"/>
      <c r="JMS2" s="107"/>
      <c r="JMT2" s="107"/>
      <c r="JMU2" s="107"/>
      <c r="JMV2" s="107"/>
      <c r="JMW2" s="107"/>
      <c r="JMX2" s="107"/>
      <c r="JMY2" s="107"/>
      <c r="JMZ2" s="107"/>
      <c r="JNA2" s="107"/>
      <c r="JNB2" s="107"/>
      <c r="JNC2" s="107"/>
      <c r="JND2" s="107"/>
      <c r="JNE2" s="107"/>
      <c r="JNF2" s="107"/>
      <c r="JNG2" s="107"/>
      <c r="JNH2" s="107"/>
      <c r="JNI2" s="107"/>
      <c r="JNJ2" s="107"/>
      <c r="JNK2" s="107"/>
      <c r="JNL2" s="107"/>
      <c r="JNM2" s="107"/>
      <c r="JNN2" s="107"/>
      <c r="JNO2" s="107"/>
      <c r="JNP2" s="107"/>
      <c r="JNQ2" s="107"/>
      <c r="JNR2" s="107"/>
      <c r="JNS2" s="107"/>
      <c r="JNT2" s="107"/>
      <c r="JNU2" s="107"/>
      <c r="JNV2" s="107"/>
      <c r="JNW2" s="107"/>
      <c r="JNX2" s="107"/>
      <c r="JNY2" s="107"/>
      <c r="JNZ2" s="107"/>
      <c r="JOA2" s="107"/>
      <c r="JOB2" s="107"/>
      <c r="JOC2" s="107"/>
      <c r="JOD2" s="107"/>
      <c r="JOE2" s="107"/>
      <c r="JOF2" s="107"/>
      <c r="JOG2" s="107"/>
      <c r="JOH2" s="107"/>
      <c r="JOI2" s="107"/>
      <c r="JOJ2" s="107"/>
      <c r="JOK2" s="107"/>
      <c r="JOL2" s="107"/>
      <c r="JOM2" s="107"/>
      <c r="JON2" s="107"/>
      <c r="JOO2" s="107"/>
      <c r="JOP2" s="107"/>
      <c r="JOQ2" s="107"/>
      <c r="JOR2" s="107"/>
      <c r="JOS2" s="107"/>
      <c r="JOT2" s="107"/>
      <c r="JOU2" s="107"/>
      <c r="JOV2" s="107"/>
      <c r="JOW2" s="107"/>
      <c r="JOX2" s="107"/>
      <c r="JOY2" s="107"/>
      <c r="JOZ2" s="107"/>
      <c r="JPA2" s="107"/>
      <c r="JPB2" s="107"/>
      <c r="JPC2" s="107"/>
      <c r="JPD2" s="107"/>
      <c r="JPE2" s="107"/>
      <c r="JPF2" s="107"/>
      <c r="JPG2" s="107"/>
      <c r="JPH2" s="107"/>
      <c r="JPI2" s="107"/>
      <c r="JPJ2" s="107"/>
      <c r="JPK2" s="107"/>
      <c r="JPL2" s="107"/>
      <c r="JPM2" s="107"/>
      <c r="JPN2" s="107"/>
      <c r="JPO2" s="107"/>
      <c r="JPP2" s="107"/>
      <c r="JPQ2" s="107"/>
      <c r="JPR2" s="107"/>
      <c r="JPS2" s="107"/>
      <c r="JPT2" s="107"/>
      <c r="JPU2" s="107"/>
      <c r="JPV2" s="107"/>
      <c r="JPW2" s="107"/>
      <c r="JPX2" s="107"/>
      <c r="JPY2" s="107"/>
      <c r="JPZ2" s="107"/>
      <c r="JQA2" s="107"/>
      <c r="JQB2" s="107"/>
      <c r="JQC2" s="107"/>
      <c r="JQD2" s="107"/>
      <c r="JQE2" s="107"/>
      <c r="JQF2" s="107"/>
      <c r="JQG2" s="107"/>
      <c r="JQH2" s="107"/>
      <c r="JQI2" s="107"/>
      <c r="JQJ2" s="107"/>
      <c r="JQK2" s="107"/>
      <c r="JQL2" s="107"/>
      <c r="JQM2" s="107"/>
      <c r="JQN2" s="107"/>
      <c r="JQO2" s="107"/>
      <c r="JQP2" s="107"/>
      <c r="JQQ2" s="107"/>
      <c r="JQR2" s="107"/>
      <c r="JQS2" s="107"/>
      <c r="JQT2" s="107"/>
      <c r="JQU2" s="107"/>
      <c r="JQV2" s="107"/>
      <c r="JQW2" s="107"/>
      <c r="JQX2" s="107"/>
      <c r="JQY2" s="107"/>
      <c r="JQZ2" s="107"/>
      <c r="JRA2" s="107"/>
      <c r="JRB2" s="107"/>
      <c r="JRC2" s="107"/>
      <c r="JRD2" s="107"/>
      <c r="JRE2" s="107"/>
      <c r="JRF2" s="107"/>
      <c r="JRG2" s="107"/>
      <c r="JRH2" s="107"/>
      <c r="JRI2" s="107"/>
      <c r="JRJ2" s="107"/>
      <c r="JRK2" s="107"/>
      <c r="JRL2" s="107"/>
      <c r="JRM2" s="107"/>
      <c r="JRN2" s="107"/>
      <c r="JRO2" s="107"/>
      <c r="JRP2" s="107"/>
      <c r="JRQ2" s="107"/>
      <c r="JRR2" s="107"/>
      <c r="JRS2" s="107"/>
      <c r="JRT2" s="107"/>
      <c r="JRU2" s="107"/>
      <c r="JRV2" s="107"/>
      <c r="JRW2" s="107"/>
      <c r="JRX2" s="107"/>
      <c r="JRY2" s="107"/>
      <c r="JRZ2" s="107"/>
      <c r="JSA2" s="107"/>
      <c r="JSB2" s="107"/>
      <c r="JSC2" s="107"/>
      <c r="JSD2" s="107"/>
      <c r="JSE2" s="107"/>
      <c r="JSF2" s="107"/>
      <c r="JSG2" s="107"/>
      <c r="JSH2" s="107"/>
      <c r="JSI2" s="107"/>
      <c r="JSJ2" s="107"/>
      <c r="JSK2" s="107"/>
      <c r="JSL2" s="107"/>
      <c r="JSM2" s="107"/>
      <c r="JSN2" s="107"/>
      <c r="JSO2" s="107"/>
      <c r="JSP2" s="107"/>
      <c r="JSQ2" s="107"/>
      <c r="JSR2" s="107"/>
      <c r="JSS2" s="107"/>
      <c r="JST2" s="107"/>
      <c r="JSU2" s="107"/>
      <c r="JSV2" s="107"/>
      <c r="JSW2" s="107"/>
      <c r="JSX2" s="107"/>
      <c r="JSY2" s="107"/>
      <c r="JSZ2" s="107"/>
      <c r="JTA2" s="107"/>
      <c r="JTB2" s="107"/>
      <c r="JTC2" s="107"/>
      <c r="JTD2" s="107"/>
      <c r="JTE2" s="107"/>
      <c r="JTF2" s="107"/>
      <c r="JTG2" s="107"/>
      <c r="JTH2" s="107"/>
      <c r="JTI2" s="107"/>
      <c r="JTJ2" s="107"/>
      <c r="JTK2" s="107"/>
      <c r="JTL2" s="107"/>
      <c r="JTM2" s="107"/>
      <c r="JTN2" s="107"/>
      <c r="JTO2" s="107"/>
      <c r="JTP2" s="107"/>
      <c r="JTQ2" s="107"/>
      <c r="JTR2" s="107"/>
      <c r="JTS2" s="107"/>
      <c r="JTT2" s="107"/>
      <c r="JTU2" s="107"/>
      <c r="JTV2" s="107"/>
      <c r="JTW2" s="107"/>
      <c r="JTX2" s="107"/>
      <c r="JTY2" s="107"/>
      <c r="JTZ2" s="107"/>
      <c r="JUA2" s="107"/>
      <c r="JUB2" s="107"/>
      <c r="JUC2" s="107"/>
      <c r="JUD2" s="107"/>
      <c r="JUE2" s="107"/>
      <c r="JUF2" s="107"/>
      <c r="JUG2" s="107"/>
      <c r="JUH2" s="107"/>
      <c r="JUI2" s="107"/>
      <c r="JUJ2" s="107"/>
      <c r="JUK2" s="107"/>
      <c r="JUL2" s="107"/>
      <c r="JUM2" s="107"/>
      <c r="JUN2" s="107"/>
      <c r="JUO2" s="107"/>
      <c r="JUP2" s="107"/>
      <c r="JUQ2" s="107"/>
      <c r="JUR2" s="107"/>
      <c r="JUS2" s="107"/>
      <c r="JUT2" s="107"/>
      <c r="JUU2" s="107"/>
      <c r="JUV2" s="107"/>
      <c r="JUW2" s="107"/>
      <c r="JUX2" s="107"/>
      <c r="JUY2" s="107"/>
      <c r="JUZ2" s="107"/>
      <c r="JVA2" s="107"/>
      <c r="JVB2" s="107"/>
      <c r="JVC2" s="107"/>
      <c r="JVD2" s="107"/>
      <c r="JVE2" s="107"/>
      <c r="JVF2" s="107"/>
      <c r="JVG2" s="107"/>
      <c r="JVH2" s="107"/>
      <c r="JVI2" s="107"/>
      <c r="JVJ2" s="107"/>
      <c r="JVK2" s="107"/>
      <c r="JVL2" s="107"/>
      <c r="JVM2" s="107"/>
      <c r="JVN2" s="107"/>
      <c r="JVO2" s="107"/>
      <c r="JVP2" s="107"/>
      <c r="JVQ2" s="107"/>
      <c r="JVR2" s="107"/>
      <c r="JVS2" s="107"/>
      <c r="JVT2" s="107"/>
      <c r="JVU2" s="107"/>
      <c r="JVV2" s="107"/>
      <c r="JVW2" s="107"/>
      <c r="JVX2" s="107"/>
      <c r="JVY2" s="107"/>
      <c r="JVZ2" s="107"/>
      <c r="JWA2" s="107"/>
      <c r="JWB2" s="107"/>
      <c r="JWC2" s="107"/>
      <c r="JWD2" s="107"/>
      <c r="JWE2" s="107"/>
      <c r="JWF2" s="107"/>
      <c r="JWG2" s="107"/>
      <c r="JWH2" s="107"/>
      <c r="JWI2" s="107"/>
      <c r="JWJ2" s="107"/>
      <c r="JWK2" s="107"/>
      <c r="JWL2" s="107"/>
      <c r="JWM2" s="107"/>
      <c r="JWN2" s="107"/>
      <c r="JWO2" s="107"/>
      <c r="JWP2" s="107"/>
      <c r="JWQ2" s="107"/>
      <c r="JWR2" s="107"/>
      <c r="JWS2" s="107"/>
      <c r="JWT2" s="107"/>
      <c r="JWU2" s="107"/>
      <c r="JWV2" s="107"/>
      <c r="JWW2" s="107"/>
      <c r="JWX2" s="107"/>
      <c r="JWY2" s="107"/>
      <c r="JWZ2" s="107"/>
      <c r="JXA2" s="107"/>
      <c r="JXB2" s="107"/>
      <c r="JXC2" s="107"/>
      <c r="JXD2" s="107"/>
      <c r="JXE2" s="107"/>
      <c r="JXF2" s="107"/>
      <c r="JXG2" s="107"/>
      <c r="JXH2" s="107"/>
      <c r="JXI2" s="107"/>
      <c r="JXJ2" s="107"/>
      <c r="JXK2" s="107"/>
      <c r="JXL2" s="107"/>
      <c r="JXM2" s="107"/>
      <c r="JXN2" s="107"/>
      <c r="JXO2" s="107"/>
      <c r="JXP2" s="107"/>
      <c r="JXQ2" s="107"/>
      <c r="JXR2" s="107"/>
      <c r="JXS2" s="107"/>
      <c r="JXT2" s="107"/>
      <c r="JXU2" s="107"/>
      <c r="JXV2" s="107"/>
      <c r="JXW2" s="107"/>
      <c r="JXX2" s="107"/>
      <c r="JXY2" s="107"/>
      <c r="JXZ2" s="107"/>
      <c r="JYA2" s="107"/>
      <c r="JYB2" s="107"/>
      <c r="JYC2" s="107"/>
      <c r="JYD2" s="107"/>
      <c r="JYE2" s="107"/>
      <c r="JYF2" s="107"/>
      <c r="JYG2" s="107"/>
      <c r="JYH2" s="107"/>
      <c r="JYI2" s="107"/>
      <c r="JYJ2" s="107"/>
      <c r="JYK2" s="107"/>
      <c r="JYL2" s="107"/>
      <c r="JYM2" s="107"/>
      <c r="JYN2" s="107"/>
      <c r="JYO2" s="107"/>
      <c r="JYP2" s="107"/>
      <c r="JYQ2" s="107"/>
      <c r="JYR2" s="107"/>
      <c r="JYS2" s="107"/>
      <c r="JYT2" s="107"/>
      <c r="JYU2" s="107"/>
      <c r="JYV2" s="107"/>
      <c r="JYW2" s="107"/>
      <c r="JYX2" s="107"/>
      <c r="JYY2" s="107"/>
      <c r="JYZ2" s="107"/>
      <c r="JZA2" s="107"/>
      <c r="JZB2" s="107"/>
      <c r="JZC2" s="107"/>
      <c r="JZD2" s="107"/>
      <c r="JZE2" s="107"/>
      <c r="JZF2" s="107"/>
      <c r="JZG2" s="107"/>
      <c r="JZH2" s="107"/>
      <c r="JZI2" s="107"/>
      <c r="JZJ2" s="107"/>
      <c r="JZK2" s="107"/>
      <c r="JZL2" s="107"/>
      <c r="JZM2" s="107"/>
      <c r="JZN2" s="107"/>
      <c r="JZO2" s="107"/>
      <c r="JZP2" s="107"/>
      <c r="JZQ2" s="107"/>
      <c r="JZR2" s="107"/>
      <c r="JZS2" s="107"/>
      <c r="JZT2" s="107"/>
      <c r="JZU2" s="107"/>
      <c r="JZV2" s="107"/>
      <c r="JZW2" s="107"/>
      <c r="JZX2" s="107"/>
      <c r="JZY2" s="107"/>
      <c r="JZZ2" s="107"/>
      <c r="KAA2" s="107"/>
      <c r="KAB2" s="107"/>
      <c r="KAC2" s="107"/>
      <c r="KAD2" s="107"/>
      <c r="KAE2" s="107"/>
      <c r="KAF2" s="107"/>
      <c r="KAG2" s="107"/>
      <c r="KAH2" s="107"/>
      <c r="KAI2" s="107"/>
      <c r="KAJ2" s="107"/>
      <c r="KAK2" s="107"/>
      <c r="KAL2" s="107"/>
      <c r="KAM2" s="107"/>
      <c r="KAN2" s="107"/>
      <c r="KAO2" s="107"/>
      <c r="KAP2" s="107"/>
      <c r="KAQ2" s="107"/>
      <c r="KAR2" s="107"/>
      <c r="KAS2" s="107"/>
      <c r="KAT2" s="107"/>
      <c r="KAU2" s="107"/>
      <c r="KAV2" s="107"/>
      <c r="KAW2" s="107"/>
      <c r="KAX2" s="107"/>
      <c r="KAY2" s="107"/>
      <c r="KAZ2" s="107"/>
      <c r="KBA2" s="107"/>
      <c r="KBB2" s="107"/>
      <c r="KBC2" s="107"/>
      <c r="KBD2" s="107"/>
      <c r="KBE2" s="107"/>
      <c r="KBF2" s="107"/>
      <c r="KBG2" s="107"/>
      <c r="KBH2" s="107"/>
      <c r="KBI2" s="107"/>
      <c r="KBJ2" s="107"/>
      <c r="KBK2" s="107"/>
      <c r="KBL2" s="107"/>
      <c r="KBM2" s="107"/>
      <c r="KBN2" s="107"/>
      <c r="KBO2" s="107"/>
      <c r="KBP2" s="107"/>
      <c r="KBQ2" s="107"/>
      <c r="KBR2" s="107"/>
      <c r="KBS2" s="107"/>
      <c r="KBT2" s="107"/>
      <c r="KBU2" s="107"/>
      <c r="KBV2" s="107"/>
      <c r="KBW2" s="107"/>
      <c r="KBX2" s="107"/>
      <c r="KBY2" s="107"/>
      <c r="KBZ2" s="107"/>
      <c r="KCA2" s="107"/>
      <c r="KCB2" s="107"/>
      <c r="KCC2" s="107"/>
      <c r="KCD2" s="107"/>
      <c r="KCE2" s="107"/>
      <c r="KCF2" s="107"/>
      <c r="KCG2" s="107"/>
      <c r="KCH2" s="107"/>
      <c r="KCI2" s="107"/>
      <c r="KCJ2" s="107"/>
      <c r="KCK2" s="107"/>
      <c r="KCL2" s="107"/>
      <c r="KCM2" s="107"/>
      <c r="KCN2" s="107"/>
      <c r="KCO2" s="107"/>
      <c r="KCP2" s="107"/>
      <c r="KCQ2" s="107"/>
      <c r="KCR2" s="107"/>
      <c r="KCS2" s="107"/>
      <c r="KCT2" s="107"/>
      <c r="KCU2" s="107"/>
      <c r="KCV2" s="107"/>
      <c r="KCW2" s="107"/>
      <c r="KCX2" s="107"/>
      <c r="KCY2" s="107"/>
      <c r="KCZ2" s="107"/>
      <c r="KDA2" s="107"/>
      <c r="KDB2" s="107"/>
      <c r="KDC2" s="107"/>
      <c r="KDD2" s="107"/>
      <c r="KDE2" s="107"/>
      <c r="KDF2" s="107"/>
      <c r="KDG2" s="107"/>
      <c r="KDH2" s="107"/>
      <c r="KDI2" s="107"/>
      <c r="KDJ2" s="107"/>
      <c r="KDK2" s="107"/>
      <c r="KDL2" s="107"/>
      <c r="KDM2" s="107"/>
      <c r="KDN2" s="107"/>
      <c r="KDO2" s="107"/>
      <c r="KDP2" s="107"/>
      <c r="KDQ2" s="107"/>
      <c r="KDR2" s="107"/>
      <c r="KDS2" s="107"/>
      <c r="KDT2" s="107"/>
      <c r="KDU2" s="107"/>
      <c r="KDV2" s="107"/>
      <c r="KDW2" s="107"/>
      <c r="KDX2" s="107"/>
      <c r="KDY2" s="107"/>
      <c r="KDZ2" s="107"/>
      <c r="KEA2" s="107"/>
      <c r="KEB2" s="107"/>
      <c r="KEC2" s="107"/>
      <c r="KED2" s="107"/>
      <c r="KEE2" s="107"/>
      <c r="KEF2" s="107"/>
      <c r="KEG2" s="107"/>
      <c r="KEH2" s="107"/>
      <c r="KEI2" s="107"/>
      <c r="KEJ2" s="107"/>
      <c r="KEK2" s="107"/>
      <c r="KEL2" s="107"/>
      <c r="KEM2" s="107"/>
      <c r="KEN2" s="107"/>
      <c r="KEO2" s="107"/>
      <c r="KEP2" s="107"/>
      <c r="KEQ2" s="107"/>
      <c r="KER2" s="107"/>
      <c r="KES2" s="107"/>
      <c r="KET2" s="107"/>
      <c r="KEU2" s="107"/>
      <c r="KEV2" s="107"/>
      <c r="KEW2" s="107"/>
      <c r="KEX2" s="107"/>
      <c r="KEY2" s="107"/>
      <c r="KEZ2" s="107"/>
      <c r="KFA2" s="107"/>
      <c r="KFB2" s="107"/>
      <c r="KFC2" s="107"/>
      <c r="KFD2" s="107"/>
      <c r="KFE2" s="107"/>
      <c r="KFF2" s="107"/>
      <c r="KFG2" s="107"/>
      <c r="KFH2" s="107"/>
      <c r="KFI2" s="107"/>
      <c r="KFJ2" s="107"/>
      <c r="KFK2" s="107"/>
      <c r="KFL2" s="107"/>
      <c r="KFM2" s="107"/>
      <c r="KFN2" s="107"/>
      <c r="KFO2" s="107"/>
      <c r="KFP2" s="107"/>
      <c r="KFQ2" s="107"/>
      <c r="KFR2" s="107"/>
      <c r="KFS2" s="107"/>
      <c r="KFT2" s="107"/>
      <c r="KFU2" s="107"/>
      <c r="KFV2" s="107"/>
      <c r="KFW2" s="107"/>
      <c r="KFX2" s="107"/>
      <c r="KFY2" s="107"/>
      <c r="KFZ2" s="107"/>
      <c r="KGA2" s="107"/>
      <c r="KGB2" s="107"/>
      <c r="KGC2" s="107"/>
      <c r="KGD2" s="107"/>
      <c r="KGE2" s="107"/>
      <c r="KGF2" s="107"/>
      <c r="KGG2" s="107"/>
      <c r="KGH2" s="107"/>
      <c r="KGI2" s="107"/>
      <c r="KGJ2" s="107"/>
      <c r="KGK2" s="107"/>
      <c r="KGL2" s="107"/>
      <c r="KGM2" s="107"/>
      <c r="KGN2" s="107"/>
      <c r="KGO2" s="107"/>
      <c r="KGP2" s="107"/>
      <c r="KGQ2" s="107"/>
      <c r="KGR2" s="107"/>
      <c r="KGS2" s="107"/>
      <c r="KGT2" s="107"/>
      <c r="KGU2" s="107"/>
      <c r="KGV2" s="107"/>
      <c r="KGW2" s="107"/>
      <c r="KGX2" s="107"/>
      <c r="KGY2" s="107"/>
      <c r="KGZ2" s="107"/>
      <c r="KHA2" s="107"/>
      <c r="KHB2" s="107"/>
      <c r="KHC2" s="107"/>
      <c r="KHD2" s="107"/>
      <c r="KHE2" s="107"/>
      <c r="KHF2" s="107"/>
      <c r="KHG2" s="107"/>
      <c r="KHH2" s="107"/>
      <c r="KHI2" s="107"/>
      <c r="KHJ2" s="107"/>
      <c r="KHK2" s="107"/>
      <c r="KHL2" s="107"/>
      <c r="KHM2" s="107"/>
      <c r="KHN2" s="107"/>
      <c r="KHO2" s="107"/>
      <c r="KHP2" s="107"/>
      <c r="KHQ2" s="107"/>
      <c r="KHR2" s="107"/>
      <c r="KHS2" s="107"/>
      <c r="KHT2" s="107"/>
      <c r="KHU2" s="107"/>
      <c r="KHV2" s="107"/>
      <c r="KHW2" s="107"/>
      <c r="KHX2" s="107"/>
      <c r="KHY2" s="107"/>
      <c r="KHZ2" s="107"/>
      <c r="KIA2" s="107"/>
      <c r="KIB2" s="107"/>
      <c r="KIC2" s="107"/>
      <c r="KID2" s="107"/>
      <c r="KIE2" s="107"/>
      <c r="KIF2" s="107"/>
      <c r="KIG2" s="107"/>
      <c r="KIH2" s="107"/>
      <c r="KII2" s="107"/>
      <c r="KIJ2" s="107"/>
      <c r="KIK2" s="107"/>
      <c r="KIL2" s="107"/>
      <c r="KIM2" s="107"/>
      <c r="KIN2" s="107"/>
      <c r="KIO2" s="107"/>
      <c r="KIP2" s="107"/>
      <c r="KIQ2" s="107"/>
      <c r="KIR2" s="107"/>
      <c r="KIS2" s="107"/>
      <c r="KIT2" s="107"/>
      <c r="KIU2" s="107"/>
      <c r="KIV2" s="107"/>
      <c r="KIW2" s="107"/>
      <c r="KIX2" s="107"/>
      <c r="KIY2" s="107"/>
      <c r="KIZ2" s="107"/>
      <c r="KJA2" s="107"/>
      <c r="KJB2" s="107"/>
      <c r="KJC2" s="107"/>
      <c r="KJD2" s="107"/>
      <c r="KJE2" s="107"/>
      <c r="KJF2" s="107"/>
      <c r="KJG2" s="107"/>
      <c r="KJH2" s="107"/>
      <c r="KJI2" s="107"/>
      <c r="KJJ2" s="107"/>
      <c r="KJK2" s="107"/>
      <c r="KJL2" s="107"/>
      <c r="KJM2" s="107"/>
      <c r="KJN2" s="107"/>
      <c r="KJO2" s="107"/>
      <c r="KJP2" s="107"/>
      <c r="KJQ2" s="107"/>
      <c r="KJR2" s="107"/>
      <c r="KJS2" s="107"/>
      <c r="KJT2" s="107"/>
      <c r="KJU2" s="107"/>
      <c r="KJV2" s="107"/>
      <c r="KJW2" s="107"/>
      <c r="KJX2" s="107"/>
      <c r="KJY2" s="107"/>
      <c r="KJZ2" s="107"/>
      <c r="KKA2" s="107"/>
      <c r="KKB2" s="107"/>
      <c r="KKC2" s="107"/>
      <c r="KKD2" s="107"/>
      <c r="KKE2" s="107"/>
      <c r="KKF2" s="107"/>
      <c r="KKG2" s="107"/>
      <c r="KKH2" s="107"/>
      <c r="KKI2" s="107"/>
      <c r="KKJ2" s="107"/>
      <c r="KKK2" s="107"/>
      <c r="KKL2" s="107"/>
      <c r="KKM2" s="107"/>
      <c r="KKN2" s="107"/>
      <c r="KKO2" s="107"/>
      <c r="KKP2" s="107"/>
      <c r="KKQ2" s="107"/>
      <c r="KKR2" s="107"/>
      <c r="KKS2" s="107"/>
      <c r="KKT2" s="107"/>
      <c r="KKU2" s="107"/>
      <c r="KKV2" s="107"/>
      <c r="KKW2" s="107"/>
      <c r="KKX2" s="107"/>
      <c r="KKY2" s="107"/>
      <c r="KKZ2" s="107"/>
      <c r="KLA2" s="107"/>
      <c r="KLB2" s="107"/>
      <c r="KLC2" s="107"/>
      <c r="KLD2" s="107"/>
      <c r="KLE2" s="107"/>
      <c r="KLF2" s="107"/>
      <c r="KLG2" s="107"/>
      <c r="KLH2" s="107"/>
      <c r="KLI2" s="107"/>
      <c r="KLJ2" s="107"/>
      <c r="KLK2" s="107"/>
      <c r="KLL2" s="107"/>
      <c r="KLM2" s="107"/>
      <c r="KLN2" s="107"/>
      <c r="KLO2" s="107"/>
      <c r="KLP2" s="107"/>
      <c r="KLQ2" s="107"/>
      <c r="KLR2" s="107"/>
      <c r="KLS2" s="107"/>
      <c r="KLT2" s="107"/>
      <c r="KLU2" s="107"/>
      <c r="KLV2" s="107"/>
      <c r="KLW2" s="107"/>
      <c r="KLX2" s="107"/>
      <c r="KLY2" s="107"/>
      <c r="KLZ2" s="107"/>
      <c r="KMA2" s="107"/>
      <c r="KMB2" s="107"/>
      <c r="KMC2" s="107"/>
      <c r="KMD2" s="107"/>
      <c r="KME2" s="107"/>
      <c r="KMF2" s="107"/>
      <c r="KMG2" s="107"/>
      <c r="KMH2" s="107"/>
      <c r="KMI2" s="107"/>
      <c r="KMJ2" s="107"/>
      <c r="KMK2" s="107"/>
      <c r="KML2" s="107"/>
      <c r="KMM2" s="107"/>
      <c r="KMN2" s="107"/>
      <c r="KMO2" s="107"/>
      <c r="KMP2" s="107"/>
      <c r="KMQ2" s="107"/>
      <c r="KMR2" s="107"/>
      <c r="KMS2" s="107"/>
      <c r="KMT2" s="107"/>
      <c r="KMU2" s="107"/>
      <c r="KMV2" s="107"/>
      <c r="KMW2" s="107"/>
      <c r="KMX2" s="107"/>
      <c r="KMY2" s="107"/>
      <c r="KMZ2" s="107"/>
      <c r="KNA2" s="107"/>
      <c r="KNB2" s="107"/>
      <c r="KNC2" s="107"/>
      <c r="KND2" s="107"/>
      <c r="KNE2" s="107"/>
      <c r="KNF2" s="107"/>
      <c r="KNG2" s="107"/>
      <c r="KNH2" s="107"/>
      <c r="KNI2" s="107"/>
      <c r="KNJ2" s="107"/>
      <c r="KNK2" s="107"/>
      <c r="KNL2" s="107"/>
      <c r="KNM2" s="107"/>
      <c r="KNN2" s="107"/>
      <c r="KNO2" s="107"/>
      <c r="KNP2" s="107"/>
      <c r="KNQ2" s="107"/>
      <c r="KNR2" s="107"/>
      <c r="KNS2" s="107"/>
      <c r="KNT2" s="107"/>
      <c r="KNU2" s="107"/>
      <c r="KNV2" s="107"/>
      <c r="KNW2" s="107"/>
      <c r="KNX2" s="107"/>
      <c r="KNY2" s="107"/>
      <c r="KNZ2" s="107"/>
      <c r="KOA2" s="107"/>
      <c r="KOB2" s="107"/>
      <c r="KOC2" s="107"/>
      <c r="KOD2" s="107"/>
      <c r="KOE2" s="107"/>
      <c r="KOF2" s="107"/>
      <c r="KOG2" s="107"/>
      <c r="KOH2" s="107"/>
      <c r="KOI2" s="107"/>
      <c r="KOJ2" s="107"/>
      <c r="KOK2" s="107"/>
      <c r="KOL2" s="107"/>
      <c r="KOM2" s="107"/>
      <c r="KON2" s="107"/>
      <c r="KOO2" s="107"/>
      <c r="KOP2" s="107"/>
      <c r="KOQ2" s="107"/>
      <c r="KOR2" s="107"/>
      <c r="KOS2" s="107"/>
      <c r="KOT2" s="107"/>
      <c r="KOU2" s="107"/>
      <c r="KOV2" s="107"/>
      <c r="KOW2" s="107"/>
      <c r="KOX2" s="107"/>
      <c r="KOY2" s="107"/>
      <c r="KOZ2" s="107"/>
      <c r="KPA2" s="107"/>
      <c r="KPB2" s="107"/>
      <c r="KPC2" s="107"/>
      <c r="KPD2" s="107"/>
      <c r="KPE2" s="107"/>
      <c r="KPF2" s="107"/>
      <c r="KPG2" s="107"/>
      <c r="KPH2" s="107"/>
      <c r="KPI2" s="107"/>
      <c r="KPJ2" s="107"/>
      <c r="KPK2" s="107"/>
      <c r="KPL2" s="107"/>
      <c r="KPM2" s="107"/>
      <c r="KPN2" s="107"/>
      <c r="KPO2" s="107"/>
      <c r="KPP2" s="107"/>
      <c r="KPQ2" s="107"/>
      <c r="KPR2" s="107"/>
      <c r="KPS2" s="107"/>
      <c r="KPT2" s="107"/>
      <c r="KPU2" s="107"/>
      <c r="KPV2" s="107"/>
      <c r="KPW2" s="107"/>
      <c r="KPX2" s="107"/>
      <c r="KPY2" s="107"/>
      <c r="KPZ2" s="107"/>
      <c r="KQA2" s="107"/>
      <c r="KQB2" s="107"/>
      <c r="KQC2" s="107"/>
      <c r="KQD2" s="107"/>
      <c r="KQE2" s="107"/>
      <c r="KQF2" s="107"/>
      <c r="KQG2" s="107"/>
      <c r="KQH2" s="107"/>
      <c r="KQI2" s="107"/>
      <c r="KQJ2" s="107"/>
      <c r="KQK2" s="107"/>
      <c r="KQL2" s="107"/>
      <c r="KQM2" s="107"/>
      <c r="KQN2" s="107"/>
      <c r="KQO2" s="107"/>
      <c r="KQP2" s="107"/>
      <c r="KQQ2" s="107"/>
      <c r="KQR2" s="107"/>
      <c r="KQS2" s="107"/>
      <c r="KQT2" s="107"/>
      <c r="KQU2" s="107"/>
      <c r="KQV2" s="107"/>
      <c r="KQW2" s="107"/>
      <c r="KQX2" s="107"/>
      <c r="KQY2" s="107"/>
      <c r="KQZ2" s="107"/>
      <c r="KRA2" s="107"/>
      <c r="KRB2" s="107"/>
      <c r="KRC2" s="107"/>
      <c r="KRD2" s="107"/>
      <c r="KRE2" s="107"/>
      <c r="KRF2" s="107"/>
      <c r="KRG2" s="107"/>
      <c r="KRH2" s="107"/>
      <c r="KRI2" s="107"/>
      <c r="KRJ2" s="107"/>
      <c r="KRK2" s="107"/>
      <c r="KRL2" s="107"/>
      <c r="KRM2" s="107"/>
      <c r="KRN2" s="107"/>
      <c r="KRO2" s="107"/>
      <c r="KRP2" s="107"/>
      <c r="KRQ2" s="107"/>
      <c r="KRR2" s="107"/>
      <c r="KRS2" s="107"/>
      <c r="KRT2" s="107"/>
      <c r="KRU2" s="107"/>
      <c r="KRV2" s="107"/>
      <c r="KRW2" s="107"/>
      <c r="KRX2" s="107"/>
      <c r="KRY2" s="107"/>
      <c r="KRZ2" s="107"/>
      <c r="KSA2" s="107"/>
      <c r="KSB2" s="107"/>
      <c r="KSC2" s="107"/>
      <c r="KSD2" s="107"/>
      <c r="KSE2" s="107"/>
      <c r="KSF2" s="107"/>
      <c r="KSG2" s="107"/>
      <c r="KSH2" s="107"/>
      <c r="KSI2" s="107"/>
      <c r="KSJ2" s="107"/>
      <c r="KSK2" s="107"/>
      <c r="KSL2" s="107"/>
      <c r="KSM2" s="107"/>
      <c r="KSN2" s="107"/>
      <c r="KSO2" s="107"/>
      <c r="KSP2" s="107"/>
      <c r="KSQ2" s="107"/>
      <c r="KSR2" s="107"/>
      <c r="KSS2" s="107"/>
      <c r="KST2" s="107"/>
      <c r="KSU2" s="107"/>
      <c r="KSV2" s="107"/>
      <c r="KSW2" s="107"/>
      <c r="KSX2" s="107"/>
      <c r="KSY2" s="107"/>
      <c r="KSZ2" s="107"/>
      <c r="KTA2" s="107"/>
      <c r="KTB2" s="107"/>
      <c r="KTC2" s="107"/>
      <c r="KTD2" s="107"/>
      <c r="KTE2" s="107"/>
      <c r="KTF2" s="107"/>
      <c r="KTG2" s="107"/>
      <c r="KTH2" s="107"/>
      <c r="KTI2" s="107"/>
      <c r="KTJ2" s="107"/>
      <c r="KTK2" s="107"/>
      <c r="KTL2" s="107"/>
      <c r="KTM2" s="107"/>
      <c r="KTN2" s="107"/>
      <c r="KTO2" s="107"/>
      <c r="KTP2" s="107"/>
      <c r="KTQ2" s="107"/>
      <c r="KTR2" s="107"/>
      <c r="KTS2" s="107"/>
      <c r="KTT2" s="107"/>
      <c r="KTU2" s="107"/>
      <c r="KTV2" s="107"/>
      <c r="KTW2" s="107"/>
      <c r="KTX2" s="107"/>
      <c r="KTY2" s="107"/>
      <c r="KTZ2" s="107"/>
      <c r="KUA2" s="107"/>
      <c r="KUB2" s="107"/>
      <c r="KUC2" s="107"/>
      <c r="KUD2" s="107"/>
      <c r="KUE2" s="107"/>
      <c r="KUF2" s="107"/>
      <c r="KUG2" s="107"/>
      <c r="KUH2" s="107"/>
      <c r="KUI2" s="107"/>
      <c r="KUJ2" s="107"/>
      <c r="KUK2" s="107"/>
      <c r="KUL2" s="107"/>
      <c r="KUM2" s="107"/>
      <c r="KUN2" s="107"/>
      <c r="KUO2" s="107"/>
      <c r="KUP2" s="107"/>
      <c r="KUQ2" s="107"/>
      <c r="KUR2" s="107"/>
      <c r="KUS2" s="107"/>
      <c r="KUT2" s="107"/>
      <c r="KUU2" s="107"/>
      <c r="KUV2" s="107"/>
      <c r="KUW2" s="107"/>
      <c r="KUX2" s="107"/>
      <c r="KUY2" s="107"/>
      <c r="KUZ2" s="107"/>
      <c r="KVA2" s="107"/>
      <c r="KVB2" s="107"/>
      <c r="KVC2" s="107"/>
      <c r="KVD2" s="107"/>
      <c r="KVE2" s="107"/>
      <c r="KVF2" s="107"/>
      <c r="KVG2" s="107"/>
      <c r="KVH2" s="107"/>
      <c r="KVI2" s="107"/>
      <c r="KVJ2" s="107"/>
      <c r="KVK2" s="107"/>
      <c r="KVL2" s="107"/>
      <c r="KVM2" s="107"/>
      <c r="KVN2" s="107"/>
      <c r="KVO2" s="107"/>
      <c r="KVP2" s="107"/>
      <c r="KVQ2" s="107"/>
      <c r="KVR2" s="107"/>
      <c r="KVS2" s="107"/>
      <c r="KVT2" s="107"/>
      <c r="KVU2" s="107"/>
      <c r="KVV2" s="107"/>
      <c r="KVW2" s="107"/>
      <c r="KVX2" s="107"/>
      <c r="KVY2" s="107"/>
      <c r="KVZ2" s="107"/>
      <c r="KWA2" s="107"/>
      <c r="KWB2" s="107"/>
      <c r="KWC2" s="107"/>
      <c r="KWD2" s="107"/>
      <c r="KWE2" s="107"/>
      <c r="KWF2" s="107"/>
      <c r="KWG2" s="107"/>
      <c r="KWH2" s="107"/>
      <c r="KWI2" s="107"/>
      <c r="KWJ2" s="107"/>
      <c r="KWK2" s="107"/>
      <c r="KWL2" s="107"/>
      <c r="KWM2" s="107"/>
      <c r="KWN2" s="107"/>
      <c r="KWO2" s="107"/>
      <c r="KWP2" s="107"/>
      <c r="KWQ2" s="107"/>
      <c r="KWR2" s="107"/>
      <c r="KWS2" s="107"/>
      <c r="KWT2" s="107"/>
      <c r="KWU2" s="107"/>
      <c r="KWV2" s="107"/>
      <c r="KWW2" s="107"/>
      <c r="KWX2" s="107"/>
      <c r="KWY2" s="107"/>
      <c r="KWZ2" s="107"/>
      <c r="KXA2" s="107"/>
      <c r="KXB2" s="107"/>
      <c r="KXC2" s="107"/>
      <c r="KXD2" s="107"/>
      <c r="KXE2" s="107"/>
      <c r="KXF2" s="107"/>
      <c r="KXG2" s="107"/>
      <c r="KXH2" s="107"/>
      <c r="KXI2" s="107"/>
      <c r="KXJ2" s="107"/>
      <c r="KXK2" s="107"/>
      <c r="KXL2" s="107"/>
      <c r="KXM2" s="107"/>
      <c r="KXN2" s="107"/>
      <c r="KXO2" s="107"/>
      <c r="KXP2" s="107"/>
      <c r="KXQ2" s="107"/>
      <c r="KXR2" s="107"/>
      <c r="KXS2" s="107"/>
      <c r="KXT2" s="107"/>
      <c r="KXU2" s="107"/>
      <c r="KXV2" s="107"/>
      <c r="KXW2" s="107"/>
      <c r="KXX2" s="107"/>
      <c r="KXY2" s="107"/>
      <c r="KXZ2" s="107"/>
      <c r="KYA2" s="107"/>
      <c r="KYB2" s="107"/>
      <c r="KYC2" s="107"/>
      <c r="KYD2" s="107"/>
      <c r="KYE2" s="107"/>
      <c r="KYF2" s="107"/>
      <c r="KYG2" s="107"/>
      <c r="KYH2" s="107"/>
      <c r="KYI2" s="107"/>
      <c r="KYJ2" s="107"/>
      <c r="KYK2" s="107"/>
      <c r="KYL2" s="107"/>
      <c r="KYM2" s="107"/>
      <c r="KYN2" s="107"/>
      <c r="KYO2" s="107"/>
      <c r="KYP2" s="107"/>
      <c r="KYQ2" s="107"/>
      <c r="KYR2" s="107"/>
      <c r="KYS2" s="107"/>
      <c r="KYT2" s="107"/>
      <c r="KYU2" s="107"/>
      <c r="KYV2" s="107"/>
      <c r="KYW2" s="107"/>
      <c r="KYX2" s="107"/>
      <c r="KYY2" s="107"/>
      <c r="KYZ2" s="107"/>
      <c r="KZA2" s="107"/>
      <c r="KZB2" s="107"/>
      <c r="KZC2" s="107"/>
      <c r="KZD2" s="107"/>
      <c r="KZE2" s="107"/>
      <c r="KZF2" s="107"/>
      <c r="KZG2" s="107"/>
      <c r="KZH2" s="107"/>
      <c r="KZI2" s="107"/>
      <c r="KZJ2" s="107"/>
      <c r="KZK2" s="107"/>
      <c r="KZL2" s="107"/>
      <c r="KZM2" s="107"/>
      <c r="KZN2" s="107"/>
      <c r="KZO2" s="107"/>
      <c r="KZP2" s="107"/>
      <c r="KZQ2" s="107"/>
      <c r="KZR2" s="107"/>
      <c r="KZS2" s="107"/>
      <c r="KZT2" s="107"/>
      <c r="KZU2" s="107"/>
      <c r="KZV2" s="107"/>
      <c r="KZW2" s="107"/>
      <c r="KZX2" s="107"/>
      <c r="KZY2" s="107"/>
      <c r="KZZ2" s="107"/>
      <c r="LAA2" s="107"/>
      <c r="LAB2" s="107"/>
      <c r="LAC2" s="107"/>
      <c r="LAD2" s="107"/>
      <c r="LAE2" s="107"/>
      <c r="LAF2" s="107"/>
      <c r="LAG2" s="107"/>
      <c r="LAH2" s="107"/>
      <c r="LAI2" s="107"/>
      <c r="LAJ2" s="107"/>
      <c r="LAK2" s="107"/>
      <c r="LAL2" s="107"/>
      <c r="LAM2" s="107"/>
      <c r="LAN2" s="107"/>
      <c r="LAO2" s="107"/>
      <c r="LAP2" s="107"/>
      <c r="LAQ2" s="107"/>
      <c r="LAR2" s="107"/>
      <c r="LAS2" s="107"/>
      <c r="LAT2" s="107"/>
      <c r="LAU2" s="107"/>
      <c r="LAV2" s="107"/>
      <c r="LAW2" s="107"/>
      <c r="LAX2" s="107"/>
      <c r="LAY2" s="107"/>
      <c r="LAZ2" s="107"/>
      <c r="LBA2" s="107"/>
      <c r="LBB2" s="107"/>
      <c r="LBC2" s="107"/>
      <c r="LBD2" s="107"/>
      <c r="LBE2" s="107"/>
      <c r="LBF2" s="107"/>
      <c r="LBG2" s="107"/>
      <c r="LBH2" s="107"/>
      <c r="LBI2" s="107"/>
      <c r="LBJ2" s="107"/>
      <c r="LBK2" s="107"/>
      <c r="LBL2" s="107"/>
      <c r="LBM2" s="107"/>
      <c r="LBN2" s="107"/>
      <c r="LBO2" s="107"/>
      <c r="LBP2" s="107"/>
      <c r="LBQ2" s="107"/>
      <c r="LBR2" s="107"/>
      <c r="LBS2" s="107"/>
      <c r="LBT2" s="107"/>
      <c r="LBU2" s="107"/>
      <c r="LBV2" s="107"/>
      <c r="LBW2" s="107"/>
      <c r="LBX2" s="107"/>
      <c r="LBY2" s="107"/>
      <c r="LBZ2" s="107"/>
      <c r="LCA2" s="107"/>
      <c r="LCB2" s="107"/>
      <c r="LCC2" s="107"/>
      <c r="LCD2" s="107"/>
      <c r="LCE2" s="107"/>
      <c r="LCF2" s="107"/>
      <c r="LCG2" s="107"/>
      <c r="LCH2" s="107"/>
      <c r="LCI2" s="107"/>
      <c r="LCJ2" s="107"/>
      <c r="LCK2" s="107"/>
      <c r="LCL2" s="107"/>
      <c r="LCM2" s="107"/>
      <c r="LCN2" s="107"/>
      <c r="LCO2" s="107"/>
      <c r="LCP2" s="107"/>
      <c r="LCQ2" s="107"/>
      <c r="LCR2" s="107"/>
      <c r="LCS2" s="107"/>
      <c r="LCT2" s="107"/>
      <c r="LCU2" s="107"/>
      <c r="LCV2" s="107"/>
      <c r="LCW2" s="107"/>
      <c r="LCX2" s="107"/>
      <c r="LCY2" s="107"/>
      <c r="LCZ2" s="107"/>
      <c r="LDA2" s="107"/>
      <c r="LDB2" s="107"/>
      <c r="LDC2" s="107"/>
      <c r="LDD2" s="107"/>
      <c r="LDE2" s="107"/>
      <c r="LDF2" s="107"/>
      <c r="LDG2" s="107"/>
      <c r="LDH2" s="107"/>
      <c r="LDI2" s="107"/>
      <c r="LDJ2" s="107"/>
      <c r="LDK2" s="107"/>
      <c r="LDL2" s="107"/>
      <c r="LDM2" s="107"/>
      <c r="LDN2" s="107"/>
      <c r="LDO2" s="107"/>
      <c r="LDP2" s="107"/>
      <c r="LDQ2" s="107"/>
      <c r="LDR2" s="107"/>
      <c r="LDS2" s="107"/>
      <c r="LDT2" s="107"/>
      <c r="LDU2" s="107"/>
      <c r="LDV2" s="107"/>
      <c r="LDW2" s="107"/>
      <c r="LDX2" s="107"/>
      <c r="LDY2" s="107"/>
      <c r="LDZ2" s="107"/>
      <c r="LEA2" s="107"/>
      <c r="LEB2" s="107"/>
      <c r="LEC2" s="107"/>
      <c r="LED2" s="107"/>
      <c r="LEE2" s="107"/>
      <c r="LEF2" s="107"/>
      <c r="LEG2" s="107"/>
      <c r="LEH2" s="107"/>
      <c r="LEI2" s="107"/>
      <c r="LEJ2" s="107"/>
      <c r="LEK2" s="107"/>
      <c r="LEL2" s="107"/>
      <c r="LEM2" s="107"/>
      <c r="LEN2" s="107"/>
      <c r="LEO2" s="107"/>
      <c r="LEP2" s="107"/>
      <c r="LEQ2" s="107"/>
      <c r="LER2" s="107"/>
      <c r="LES2" s="107"/>
      <c r="LET2" s="107"/>
      <c r="LEU2" s="107"/>
      <c r="LEV2" s="107"/>
      <c r="LEW2" s="107"/>
      <c r="LEX2" s="107"/>
      <c r="LEY2" s="107"/>
      <c r="LEZ2" s="107"/>
      <c r="LFA2" s="107"/>
      <c r="LFB2" s="107"/>
      <c r="LFC2" s="107"/>
      <c r="LFD2" s="107"/>
      <c r="LFE2" s="107"/>
      <c r="LFF2" s="107"/>
      <c r="LFG2" s="107"/>
      <c r="LFH2" s="107"/>
      <c r="LFI2" s="107"/>
      <c r="LFJ2" s="107"/>
      <c r="LFK2" s="107"/>
      <c r="LFL2" s="107"/>
      <c r="LFM2" s="107"/>
      <c r="LFN2" s="107"/>
      <c r="LFO2" s="107"/>
      <c r="LFP2" s="107"/>
      <c r="LFQ2" s="107"/>
      <c r="LFR2" s="107"/>
      <c r="LFS2" s="107"/>
      <c r="LFT2" s="107"/>
      <c r="LFU2" s="107"/>
      <c r="LFV2" s="107"/>
      <c r="LFW2" s="107"/>
      <c r="LFX2" s="107"/>
      <c r="LFY2" s="107"/>
      <c r="LFZ2" s="107"/>
      <c r="LGA2" s="107"/>
      <c r="LGB2" s="107"/>
      <c r="LGC2" s="107"/>
      <c r="LGD2" s="107"/>
      <c r="LGE2" s="107"/>
      <c r="LGF2" s="107"/>
      <c r="LGG2" s="107"/>
      <c r="LGH2" s="107"/>
      <c r="LGI2" s="107"/>
      <c r="LGJ2" s="107"/>
      <c r="LGK2" s="107"/>
      <c r="LGL2" s="107"/>
      <c r="LGM2" s="107"/>
      <c r="LGN2" s="107"/>
      <c r="LGO2" s="107"/>
      <c r="LGP2" s="107"/>
      <c r="LGQ2" s="107"/>
      <c r="LGR2" s="107"/>
      <c r="LGS2" s="107"/>
      <c r="LGT2" s="107"/>
      <c r="LGU2" s="107"/>
      <c r="LGV2" s="107"/>
      <c r="LGW2" s="107"/>
      <c r="LGX2" s="107"/>
      <c r="LGY2" s="107"/>
      <c r="LGZ2" s="107"/>
      <c r="LHA2" s="107"/>
      <c r="LHB2" s="107"/>
      <c r="LHC2" s="107"/>
      <c r="LHD2" s="107"/>
      <c r="LHE2" s="107"/>
      <c r="LHF2" s="107"/>
      <c r="LHG2" s="107"/>
      <c r="LHH2" s="107"/>
      <c r="LHI2" s="107"/>
      <c r="LHJ2" s="107"/>
      <c r="LHK2" s="107"/>
      <c r="LHL2" s="107"/>
      <c r="LHM2" s="107"/>
      <c r="LHN2" s="107"/>
      <c r="LHO2" s="107"/>
      <c r="LHP2" s="107"/>
      <c r="LHQ2" s="107"/>
      <c r="LHR2" s="107"/>
      <c r="LHS2" s="107"/>
      <c r="LHT2" s="107"/>
      <c r="LHU2" s="107"/>
      <c r="LHV2" s="107"/>
      <c r="LHW2" s="107"/>
      <c r="LHX2" s="107"/>
      <c r="LHY2" s="107"/>
      <c r="LHZ2" s="107"/>
      <c r="LIA2" s="107"/>
      <c r="LIB2" s="107"/>
      <c r="LIC2" s="107"/>
      <c r="LID2" s="107"/>
      <c r="LIE2" s="107"/>
      <c r="LIF2" s="107"/>
      <c r="LIG2" s="107"/>
      <c r="LIH2" s="107"/>
      <c r="LII2" s="107"/>
      <c r="LIJ2" s="107"/>
      <c r="LIK2" s="107"/>
      <c r="LIL2" s="107"/>
      <c r="LIM2" s="107"/>
      <c r="LIN2" s="107"/>
      <c r="LIO2" s="107"/>
      <c r="LIP2" s="107"/>
      <c r="LIQ2" s="107"/>
      <c r="LIR2" s="107"/>
      <c r="LIS2" s="107"/>
      <c r="LIT2" s="107"/>
      <c r="LIU2" s="107"/>
      <c r="LIV2" s="107"/>
      <c r="LIW2" s="107"/>
      <c r="LIX2" s="107"/>
      <c r="LIY2" s="107"/>
      <c r="LIZ2" s="107"/>
      <c r="LJA2" s="107"/>
      <c r="LJB2" s="107"/>
      <c r="LJC2" s="107"/>
      <c r="LJD2" s="107"/>
      <c r="LJE2" s="107"/>
      <c r="LJF2" s="107"/>
      <c r="LJG2" s="107"/>
      <c r="LJH2" s="107"/>
      <c r="LJI2" s="107"/>
      <c r="LJJ2" s="107"/>
      <c r="LJK2" s="107"/>
      <c r="LJL2" s="107"/>
      <c r="LJM2" s="107"/>
      <c r="LJN2" s="107"/>
      <c r="LJO2" s="107"/>
      <c r="LJP2" s="107"/>
      <c r="LJQ2" s="107"/>
      <c r="LJR2" s="107"/>
      <c r="LJS2" s="107"/>
      <c r="LJT2" s="107"/>
      <c r="LJU2" s="107"/>
      <c r="LJV2" s="107"/>
      <c r="LJW2" s="107"/>
      <c r="LJX2" s="107"/>
      <c r="LJY2" s="107"/>
      <c r="LJZ2" s="107"/>
      <c r="LKA2" s="107"/>
      <c r="LKB2" s="107"/>
      <c r="LKC2" s="107"/>
      <c r="LKD2" s="107"/>
      <c r="LKE2" s="107"/>
      <c r="LKF2" s="107"/>
      <c r="LKG2" s="107"/>
      <c r="LKH2" s="107"/>
      <c r="LKI2" s="107"/>
      <c r="LKJ2" s="107"/>
      <c r="LKK2" s="107"/>
      <c r="LKL2" s="107"/>
      <c r="LKM2" s="107"/>
      <c r="LKN2" s="107"/>
      <c r="LKO2" s="107"/>
      <c r="LKP2" s="107"/>
      <c r="LKQ2" s="107"/>
      <c r="LKR2" s="107"/>
      <c r="LKS2" s="107"/>
      <c r="LKT2" s="107"/>
      <c r="LKU2" s="107"/>
      <c r="LKV2" s="107"/>
      <c r="LKW2" s="107"/>
      <c r="LKX2" s="107"/>
      <c r="LKY2" s="107"/>
      <c r="LKZ2" s="107"/>
      <c r="LLA2" s="107"/>
      <c r="LLB2" s="107"/>
      <c r="LLC2" s="107"/>
      <c r="LLD2" s="107"/>
      <c r="LLE2" s="107"/>
      <c r="LLF2" s="107"/>
      <c r="LLG2" s="107"/>
      <c r="LLH2" s="107"/>
      <c r="LLI2" s="107"/>
      <c r="LLJ2" s="107"/>
      <c r="LLK2" s="107"/>
      <c r="LLL2" s="107"/>
      <c r="LLM2" s="107"/>
      <c r="LLN2" s="107"/>
      <c r="LLO2" s="107"/>
      <c r="LLP2" s="107"/>
      <c r="LLQ2" s="107"/>
      <c r="LLR2" s="107"/>
      <c r="LLS2" s="107"/>
      <c r="LLT2" s="107"/>
      <c r="LLU2" s="107"/>
      <c r="LLV2" s="107"/>
      <c r="LLW2" s="107"/>
      <c r="LLX2" s="107"/>
      <c r="LLY2" s="107"/>
      <c r="LLZ2" s="107"/>
      <c r="LMA2" s="107"/>
      <c r="LMB2" s="107"/>
      <c r="LMC2" s="107"/>
      <c r="LMD2" s="107"/>
      <c r="LME2" s="107"/>
      <c r="LMF2" s="107"/>
      <c r="LMG2" s="107"/>
      <c r="LMH2" s="107"/>
      <c r="LMI2" s="107"/>
      <c r="LMJ2" s="107"/>
      <c r="LMK2" s="107"/>
      <c r="LML2" s="107"/>
      <c r="LMM2" s="107"/>
      <c r="LMN2" s="107"/>
      <c r="LMO2" s="107"/>
      <c r="LMP2" s="107"/>
      <c r="LMQ2" s="107"/>
      <c r="LMR2" s="107"/>
      <c r="LMS2" s="107"/>
      <c r="LMT2" s="107"/>
      <c r="LMU2" s="107"/>
      <c r="LMV2" s="107"/>
      <c r="LMW2" s="107"/>
      <c r="LMX2" s="107"/>
      <c r="LMY2" s="107"/>
      <c r="LMZ2" s="107"/>
      <c r="LNA2" s="107"/>
      <c r="LNB2" s="107"/>
      <c r="LNC2" s="107"/>
      <c r="LND2" s="107"/>
      <c r="LNE2" s="107"/>
      <c r="LNF2" s="107"/>
      <c r="LNG2" s="107"/>
      <c r="LNH2" s="107"/>
      <c r="LNI2" s="107"/>
      <c r="LNJ2" s="107"/>
      <c r="LNK2" s="107"/>
      <c r="LNL2" s="107"/>
      <c r="LNM2" s="107"/>
      <c r="LNN2" s="107"/>
      <c r="LNO2" s="107"/>
      <c r="LNP2" s="107"/>
      <c r="LNQ2" s="107"/>
      <c r="LNR2" s="107"/>
      <c r="LNS2" s="107"/>
      <c r="LNT2" s="107"/>
      <c r="LNU2" s="107"/>
      <c r="LNV2" s="107"/>
      <c r="LNW2" s="107"/>
      <c r="LNX2" s="107"/>
      <c r="LNY2" s="107"/>
      <c r="LNZ2" s="107"/>
      <c r="LOA2" s="107"/>
      <c r="LOB2" s="107"/>
      <c r="LOC2" s="107"/>
      <c r="LOD2" s="107"/>
      <c r="LOE2" s="107"/>
      <c r="LOF2" s="107"/>
      <c r="LOG2" s="107"/>
      <c r="LOH2" s="107"/>
      <c r="LOI2" s="107"/>
      <c r="LOJ2" s="107"/>
      <c r="LOK2" s="107"/>
      <c r="LOL2" s="107"/>
      <c r="LOM2" s="107"/>
      <c r="LON2" s="107"/>
      <c r="LOO2" s="107"/>
      <c r="LOP2" s="107"/>
      <c r="LOQ2" s="107"/>
      <c r="LOR2" s="107"/>
      <c r="LOS2" s="107"/>
      <c r="LOT2" s="107"/>
      <c r="LOU2" s="107"/>
      <c r="LOV2" s="107"/>
      <c r="LOW2" s="107"/>
      <c r="LOX2" s="107"/>
      <c r="LOY2" s="107"/>
      <c r="LOZ2" s="107"/>
      <c r="LPA2" s="107"/>
      <c r="LPB2" s="107"/>
      <c r="LPC2" s="107"/>
      <c r="LPD2" s="107"/>
      <c r="LPE2" s="107"/>
      <c r="LPF2" s="107"/>
      <c r="LPG2" s="107"/>
      <c r="LPH2" s="107"/>
      <c r="LPI2" s="107"/>
      <c r="LPJ2" s="107"/>
      <c r="LPK2" s="107"/>
      <c r="LPL2" s="107"/>
      <c r="LPM2" s="107"/>
      <c r="LPN2" s="107"/>
      <c r="LPO2" s="107"/>
      <c r="LPP2" s="107"/>
      <c r="LPQ2" s="107"/>
      <c r="LPR2" s="107"/>
      <c r="LPS2" s="107"/>
      <c r="LPT2" s="107"/>
      <c r="LPU2" s="107"/>
      <c r="LPV2" s="107"/>
      <c r="LPW2" s="107"/>
      <c r="LPX2" s="107"/>
      <c r="LPY2" s="107"/>
      <c r="LPZ2" s="107"/>
      <c r="LQA2" s="107"/>
      <c r="LQB2" s="107"/>
      <c r="LQC2" s="107"/>
      <c r="LQD2" s="107"/>
      <c r="LQE2" s="107"/>
      <c r="LQF2" s="107"/>
      <c r="LQG2" s="107"/>
      <c r="LQH2" s="107"/>
      <c r="LQI2" s="107"/>
      <c r="LQJ2" s="107"/>
      <c r="LQK2" s="107"/>
      <c r="LQL2" s="107"/>
      <c r="LQM2" s="107"/>
      <c r="LQN2" s="107"/>
      <c r="LQO2" s="107"/>
      <c r="LQP2" s="107"/>
      <c r="LQQ2" s="107"/>
      <c r="LQR2" s="107"/>
      <c r="LQS2" s="107"/>
      <c r="LQT2" s="107"/>
      <c r="LQU2" s="107"/>
      <c r="LQV2" s="107"/>
      <c r="LQW2" s="107"/>
      <c r="LQX2" s="107"/>
      <c r="LQY2" s="107"/>
      <c r="LQZ2" s="107"/>
      <c r="LRA2" s="107"/>
      <c r="LRB2" s="107"/>
      <c r="LRC2" s="107"/>
      <c r="LRD2" s="107"/>
      <c r="LRE2" s="107"/>
      <c r="LRF2" s="107"/>
      <c r="LRG2" s="107"/>
      <c r="LRH2" s="107"/>
      <c r="LRI2" s="107"/>
      <c r="LRJ2" s="107"/>
      <c r="LRK2" s="107"/>
      <c r="LRL2" s="107"/>
      <c r="LRM2" s="107"/>
      <c r="LRN2" s="107"/>
      <c r="LRO2" s="107"/>
      <c r="LRP2" s="107"/>
      <c r="LRQ2" s="107"/>
      <c r="LRR2" s="107"/>
      <c r="LRS2" s="107"/>
      <c r="LRT2" s="107"/>
      <c r="LRU2" s="107"/>
      <c r="LRV2" s="107"/>
      <c r="LRW2" s="107"/>
      <c r="LRX2" s="107"/>
      <c r="LRY2" s="107"/>
      <c r="LRZ2" s="107"/>
      <c r="LSA2" s="107"/>
      <c r="LSB2" s="107"/>
      <c r="LSC2" s="107"/>
      <c r="LSD2" s="107"/>
      <c r="LSE2" s="107"/>
      <c r="LSF2" s="107"/>
      <c r="LSG2" s="107"/>
      <c r="LSH2" s="107"/>
      <c r="LSI2" s="107"/>
      <c r="LSJ2" s="107"/>
      <c r="LSK2" s="107"/>
      <c r="LSL2" s="107"/>
      <c r="LSM2" s="107"/>
      <c r="LSN2" s="107"/>
      <c r="LSO2" s="107"/>
      <c r="LSP2" s="107"/>
      <c r="LSQ2" s="107"/>
      <c r="LSR2" s="107"/>
      <c r="LSS2" s="107"/>
      <c r="LST2" s="107"/>
      <c r="LSU2" s="107"/>
      <c r="LSV2" s="107"/>
      <c r="LSW2" s="107"/>
      <c r="LSX2" s="107"/>
      <c r="LSY2" s="107"/>
      <c r="LSZ2" s="107"/>
      <c r="LTA2" s="107"/>
      <c r="LTB2" s="107"/>
      <c r="LTC2" s="107"/>
      <c r="LTD2" s="107"/>
      <c r="LTE2" s="107"/>
      <c r="LTF2" s="107"/>
      <c r="LTG2" s="107"/>
      <c r="LTH2" s="107"/>
      <c r="LTI2" s="107"/>
      <c r="LTJ2" s="107"/>
      <c r="LTK2" s="107"/>
      <c r="LTL2" s="107"/>
      <c r="LTM2" s="107"/>
      <c r="LTN2" s="107"/>
      <c r="LTO2" s="107"/>
      <c r="LTP2" s="107"/>
      <c r="LTQ2" s="107"/>
      <c r="LTR2" s="107"/>
      <c r="LTS2" s="107"/>
      <c r="LTT2" s="107"/>
      <c r="LTU2" s="107"/>
      <c r="LTV2" s="107"/>
      <c r="LTW2" s="107"/>
      <c r="LTX2" s="107"/>
      <c r="LTY2" s="107"/>
      <c r="LTZ2" s="107"/>
      <c r="LUA2" s="107"/>
      <c r="LUB2" s="107"/>
      <c r="LUC2" s="107"/>
      <c r="LUD2" s="107"/>
      <c r="LUE2" s="107"/>
      <c r="LUF2" s="107"/>
      <c r="LUG2" s="107"/>
      <c r="LUH2" s="107"/>
      <c r="LUI2" s="107"/>
      <c r="LUJ2" s="107"/>
      <c r="LUK2" s="107"/>
      <c r="LUL2" s="107"/>
      <c r="LUM2" s="107"/>
      <c r="LUN2" s="107"/>
      <c r="LUO2" s="107"/>
      <c r="LUP2" s="107"/>
      <c r="LUQ2" s="107"/>
      <c r="LUR2" s="107"/>
      <c r="LUS2" s="107"/>
      <c r="LUT2" s="107"/>
      <c r="LUU2" s="107"/>
      <c r="LUV2" s="107"/>
      <c r="LUW2" s="107"/>
      <c r="LUX2" s="107"/>
      <c r="LUY2" s="107"/>
      <c r="LUZ2" s="107"/>
      <c r="LVA2" s="107"/>
      <c r="LVB2" s="107"/>
      <c r="LVC2" s="107"/>
      <c r="LVD2" s="107"/>
      <c r="LVE2" s="107"/>
      <c r="LVF2" s="107"/>
      <c r="LVG2" s="107"/>
      <c r="LVH2" s="107"/>
      <c r="LVI2" s="107"/>
      <c r="LVJ2" s="107"/>
      <c r="LVK2" s="107"/>
      <c r="LVL2" s="107"/>
      <c r="LVM2" s="107"/>
      <c r="LVN2" s="107"/>
      <c r="LVO2" s="107"/>
      <c r="LVP2" s="107"/>
      <c r="LVQ2" s="107"/>
      <c r="LVR2" s="107"/>
      <c r="LVS2" s="107"/>
      <c r="LVT2" s="107"/>
      <c r="LVU2" s="107"/>
      <c r="LVV2" s="107"/>
      <c r="LVW2" s="107"/>
      <c r="LVX2" s="107"/>
      <c r="LVY2" s="107"/>
      <c r="LVZ2" s="107"/>
      <c r="LWA2" s="107"/>
      <c r="LWB2" s="107"/>
      <c r="LWC2" s="107"/>
      <c r="LWD2" s="107"/>
      <c r="LWE2" s="107"/>
      <c r="LWF2" s="107"/>
      <c r="LWG2" s="107"/>
      <c r="LWH2" s="107"/>
      <c r="LWI2" s="107"/>
      <c r="LWJ2" s="107"/>
      <c r="LWK2" s="107"/>
      <c r="LWL2" s="107"/>
      <c r="LWM2" s="107"/>
      <c r="LWN2" s="107"/>
      <c r="LWO2" s="107"/>
      <c r="LWP2" s="107"/>
      <c r="LWQ2" s="107"/>
      <c r="LWR2" s="107"/>
      <c r="LWS2" s="107"/>
      <c r="LWT2" s="107"/>
      <c r="LWU2" s="107"/>
      <c r="LWV2" s="107"/>
      <c r="LWW2" s="107"/>
      <c r="LWX2" s="107"/>
      <c r="LWY2" s="107"/>
      <c r="LWZ2" s="107"/>
      <c r="LXA2" s="107"/>
      <c r="LXB2" s="107"/>
      <c r="LXC2" s="107"/>
      <c r="LXD2" s="107"/>
      <c r="LXE2" s="107"/>
      <c r="LXF2" s="107"/>
      <c r="LXG2" s="107"/>
      <c r="LXH2" s="107"/>
      <c r="LXI2" s="107"/>
      <c r="LXJ2" s="107"/>
      <c r="LXK2" s="107"/>
      <c r="LXL2" s="107"/>
      <c r="LXM2" s="107"/>
      <c r="LXN2" s="107"/>
      <c r="LXO2" s="107"/>
      <c r="LXP2" s="107"/>
      <c r="LXQ2" s="107"/>
      <c r="LXR2" s="107"/>
      <c r="LXS2" s="107"/>
      <c r="LXT2" s="107"/>
      <c r="LXU2" s="107"/>
      <c r="LXV2" s="107"/>
      <c r="LXW2" s="107"/>
      <c r="LXX2" s="107"/>
      <c r="LXY2" s="107"/>
      <c r="LXZ2" s="107"/>
      <c r="LYA2" s="107"/>
      <c r="LYB2" s="107"/>
      <c r="LYC2" s="107"/>
      <c r="LYD2" s="107"/>
      <c r="LYE2" s="107"/>
      <c r="LYF2" s="107"/>
      <c r="LYG2" s="107"/>
      <c r="LYH2" s="107"/>
      <c r="LYI2" s="107"/>
      <c r="LYJ2" s="107"/>
      <c r="LYK2" s="107"/>
      <c r="LYL2" s="107"/>
      <c r="LYM2" s="107"/>
      <c r="LYN2" s="107"/>
      <c r="LYO2" s="107"/>
      <c r="LYP2" s="107"/>
      <c r="LYQ2" s="107"/>
      <c r="LYR2" s="107"/>
      <c r="LYS2" s="107"/>
      <c r="LYT2" s="107"/>
      <c r="LYU2" s="107"/>
      <c r="LYV2" s="107"/>
      <c r="LYW2" s="107"/>
      <c r="LYX2" s="107"/>
      <c r="LYY2" s="107"/>
      <c r="LYZ2" s="107"/>
      <c r="LZA2" s="107"/>
      <c r="LZB2" s="107"/>
      <c r="LZC2" s="107"/>
      <c r="LZD2" s="107"/>
      <c r="LZE2" s="107"/>
      <c r="LZF2" s="107"/>
      <c r="LZG2" s="107"/>
      <c r="LZH2" s="107"/>
      <c r="LZI2" s="107"/>
      <c r="LZJ2" s="107"/>
      <c r="LZK2" s="107"/>
      <c r="LZL2" s="107"/>
      <c r="LZM2" s="107"/>
      <c r="LZN2" s="107"/>
      <c r="LZO2" s="107"/>
      <c r="LZP2" s="107"/>
      <c r="LZQ2" s="107"/>
      <c r="LZR2" s="107"/>
      <c r="LZS2" s="107"/>
      <c r="LZT2" s="107"/>
      <c r="LZU2" s="107"/>
      <c r="LZV2" s="107"/>
      <c r="LZW2" s="107"/>
      <c r="LZX2" s="107"/>
      <c r="LZY2" s="107"/>
      <c r="LZZ2" s="107"/>
      <c r="MAA2" s="107"/>
      <c r="MAB2" s="107"/>
      <c r="MAC2" s="107"/>
      <c r="MAD2" s="107"/>
      <c r="MAE2" s="107"/>
      <c r="MAF2" s="107"/>
      <c r="MAG2" s="107"/>
      <c r="MAH2" s="107"/>
      <c r="MAI2" s="107"/>
      <c r="MAJ2" s="107"/>
      <c r="MAK2" s="107"/>
      <c r="MAL2" s="107"/>
      <c r="MAM2" s="107"/>
      <c r="MAN2" s="107"/>
      <c r="MAO2" s="107"/>
      <c r="MAP2" s="107"/>
      <c r="MAQ2" s="107"/>
      <c r="MAR2" s="107"/>
      <c r="MAS2" s="107"/>
      <c r="MAT2" s="107"/>
      <c r="MAU2" s="107"/>
      <c r="MAV2" s="107"/>
      <c r="MAW2" s="107"/>
      <c r="MAX2" s="107"/>
      <c r="MAY2" s="107"/>
      <c r="MAZ2" s="107"/>
      <c r="MBA2" s="107"/>
      <c r="MBB2" s="107"/>
      <c r="MBC2" s="107"/>
      <c r="MBD2" s="107"/>
      <c r="MBE2" s="107"/>
      <c r="MBF2" s="107"/>
      <c r="MBG2" s="107"/>
      <c r="MBH2" s="107"/>
      <c r="MBI2" s="107"/>
      <c r="MBJ2" s="107"/>
      <c r="MBK2" s="107"/>
      <c r="MBL2" s="107"/>
      <c r="MBM2" s="107"/>
      <c r="MBN2" s="107"/>
      <c r="MBO2" s="107"/>
      <c r="MBP2" s="107"/>
      <c r="MBQ2" s="107"/>
      <c r="MBR2" s="107"/>
      <c r="MBS2" s="107"/>
      <c r="MBT2" s="107"/>
      <c r="MBU2" s="107"/>
      <c r="MBV2" s="107"/>
      <c r="MBW2" s="107"/>
      <c r="MBX2" s="107"/>
      <c r="MBY2" s="107"/>
      <c r="MBZ2" s="107"/>
      <c r="MCA2" s="107"/>
      <c r="MCB2" s="107"/>
      <c r="MCC2" s="107"/>
      <c r="MCD2" s="107"/>
      <c r="MCE2" s="107"/>
      <c r="MCF2" s="107"/>
      <c r="MCG2" s="107"/>
      <c r="MCH2" s="107"/>
      <c r="MCI2" s="107"/>
      <c r="MCJ2" s="107"/>
      <c r="MCK2" s="107"/>
      <c r="MCL2" s="107"/>
      <c r="MCM2" s="107"/>
      <c r="MCN2" s="107"/>
      <c r="MCO2" s="107"/>
      <c r="MCP2" s="107"/>
      <c r="MCQ2" s="107"/>
      <c r="MCR2" s="107"/>
      <c r="MCS2" s="107"/>
      <c r="MCT2" s="107"/>
      <c r="MCU2" s="107"/>
      <c r="MCV2" s="107"/>
      <c r="MCW2" s="107"/>
      <c r="MCX2" s="107"/>
      <c r="MCY2" s="107"/>
      <c r="MCZ2" s="107"/>
      <c r="MDA2" s="107"/>
      <c r="MDB2" s="107"/>
      <c r="MDC2" s="107"/>
      <c r="MDD2" s="107"/>
      <c r="MDE2" s="107"/>
      <c r="MDF2" s="107"/>
      <c r="MDG2" s="107"/>
      <c r="MDH2" s="107"/>
      <c r="MDI2" s="107"/>
      <c r="MDJ2" s="107"/>
      <c r="MDK2" s="107"/>
      <c r="MDL2" s="107"/>
      <c r="MDM2" s="107"/>
      <c r="MDN2" s="107"/>
      <c r="MDO2" s="107"/>
      <c r="MDP2" s="107"/>
      <c r="MDQ2" s="107"/>
      <c r="MDR2" s="107"/>
      <c r="MDS2" s="107"/>
      <c r="MDT2" s="107"/>
      <c r="MDU2" s="107"/>
      <c r="MDV2" s="107"/>
      <c r="MDW2" s="107"/>
      <c r="MDX2" s="107"/>
      <c r="MDY2" s="107"/>
      <c r="MDZ2" s="107"/>
      <c r="MEA2" s="107"/>
      <c r="MEB2" s="107"/>
      <c r="MEC2" s="107"/>
      <c r="MED2" s="107"/>
      <c r="MEE2" s="107"/>
      <c r="MEF2" s="107"/>
      <c r="MEG2" s="107"/>
      <c r="MEH2" s="107"/>
      <c r="MEI2" s="107"/>
      <c r="MEJ2" s="107"/>
      <c r="MEK2" s="107"/>
      <c r="MEL2" s="107"/>
      <c r="MEM2" s="107"/>
      <c r="MEN2" s="107"/>
      <c r="MEO2" s="107"/>
      <c r="MEP2" s="107"/>
      <c r="MEQ2" s="107"/>
      <c r="MER2" s="107"/>
      <c r="MES2" s="107"/>
      <c r="MET2" s="107"/>
      <c r="MEU2" s="107"/>
      <c r="MEV2" s="107"/>
      <c r="MEW2" s="107"/>
      <c r="MEX2" s="107"/>
      <c r="MEY2" s="107"/>
      <c r="MEZ2" s="107"/>
      <c r="MFA2" s="107"/>
      <c r="MFB2" s="107"/>
      <c r="MFC2" s="107"/>
      <c r="MFD2" s="107"/>
      <c r="MFE2" s="107"/>
      <c r="MFF2" s="107"/>
      <c r="MFG2" s="107"/>
      <c r="MFH2" s="107"/>
      <c r="MFI2" s="107"/>
      <c r="MFJ2" s="107"/>
      <c r="MFK2" s="107"/>
      <c r="MFL2" s="107"/>
      <c r="MFM2" s="107"/>
      <c r="MFN2" s="107"/>
      <c r="MFO2" s="107"/>
      <c r="MFP2" s="107"/>
      <c r="MFQ2" s="107"/>
      <c r="MFR2" s="107"/>
      <c r="MFS2" s="107"/>
      <c r="MFT2" s="107"/>
      <c r="MFU2" s="107"/>
      <c r="MFV2" s="107"/>
      <c r="MFW2" s="107"/>
      <c r="MFX2" s="107"/>
      <c r="MFY2" s="107"/>
      <c r="MFZ2" s="107"/>
      <c r="MGA2" s="107"/>
      <c r="MGB2" s="107"/>
      <c r="MGC2" s="107"/>
      <c r="MGD2" s="107"/>
      <c r="MGE2" s="107"/>
      <c r="MGF2" s="107"/>
      <c r="MGG2" s="107"/>
      <c r="MGH2" s="107"/>
      <c r="MGI2" s="107"/>
      <c r="MGJ2" s="107"/>
      <c r="MGK2" s="107"/>
      <c r="MGL2" s="107"/>
      <c r="MGM2" s="107"/>
      <c r="MGN2" s="107"/>
      <c r="MGO2" s="107"/>
      <c r="MGP2" s="107"/>
      <c r="MGQ2" s="107"/>
      <c r="MGR2" s="107"/>
      <c r="MGS2" s="107"/>
      <c r="MGT2" s="107"/>
      <c r="MGU2" s="107"/>
      <c r="MGV2" s="107"/>
      <c r="MGW2" s="107"/>
      <c r="MGX2" s="107"/>
      <c r="MGY2" s="107"/>
      <c r="MGZ2" s="107"/>
      <c r="MHA2" s="107"/>
      <c r="MHB2" s="107"/>
      <c r="MHC2" s="107"/>
      <c r="MHD2" s="107"/>
      <c r="MHE2" s="107"/>
      <c r="MHF2" s="107"/>
      <c r="MHG2" s="107"/>
      <c r="MHH2" s="107"/>
      <c r="MHI2" s="107"/>
      <c r="MHJ2" s="107"/>
      <c r="MHK2" s="107"/>
      <c r="MHL2" s="107"/>
      <c r="MHM2" s="107"/>
      <c r="MHN2" s="107"/>
      <c r="MHO2" s="107"/>
      <c r="MHP2" s="107"/>
      <c r="MHQ2" s="107"/>
      <c r="MHR2" s="107"/>
      <c r="MHS2" s="107"/>
      <c r="MHT2" s="107"/>
      <c r="MHU2" s="107"/>
      <c r="MHV2" s="107"/>
      <c r="MHW2" s="107"/>
      <c r="MHX2" s="107"/>
      <c r="MHY2" s="107"/>
      <c r="MHZ2" s="107"/>
      <c r="MIA2" s="107"/>
      <c r="MIB2" s="107"/>
      <c r="MIC2" s="107"/>
      <c r="MID2" s="107"/>
      <c r="MIE2" s="107"/>
      <c r="MIF2" s="107"/>
      <c r="MIG2" s="107"/>
      <c r="MIH2" s="107"/>
      <c r="MII2" s="107"/>
      <c r="MIJ2" s="107"/>
      <c r="MIK2" s="107"/>
      <c r="MIL2" s="107"/>
      <c r="MIM2" s="107"/>
      <c r="MIN2" s="107"/>
      <c r="MIO2" s="107"/>
      <c r="MIP2" s="107"/>
      <c r="MIQ2" s="107"/>
      <c r="MIR2" s="107"/>
      <c r="MIS2" s="107"/>
      <c r="MIT2" s="107"/>
      <c r="MIU2" s="107"/>
      <c r="MIV2" s="107"/>
      <c r="MIW2" s="107"/>
      <c r="MIX2" s="107"/>
      <c r="MIY2" s="107"/>
      <c r="MIZ2" s="107"/>
      <c r="MJA2" s="107"/>
      <c r="MJB2" s="107"/>
      <c r="MJC2" s="107"/>
      <c r="MJD2" s="107"/>
      <c r="MJE2" s="107"/>
      <c r="MJF2" s="107"/>
      <c r="MJG2" s="107"/>
      <c r="MJH2" s="107"/>
      <c r="MJI2" s="107"/>
      <c r="MJJ2" s="107"/>
      <c r="MJK2" s="107"/>
      <c r="MJL2" s="107"/>
      <c r="MJM2" s="107"/>
      <c r="MJN2" s="107"/>
      <c r="MJO2" s="107"/>
      <c r="MJP2" s="107"/>
      <c r="MJQ2" s="107"/>
      <c r="MJR2" s="107"/>
      <c r="MJS2" s="107"/>
      <c r="MJT2" s="107"/>
      <c r="MJU2" s="107"/>
      <c r="MJV2" s="107"/>
      <c r="MJW2" s="107"/>
      <c r="MJX2" s="107"/>
      <c r="MJY2" s="107"/>
      <c r="MJZ2" s="107"/>
      <c r="MKA2" s="107"/>
      <c r="MKB2" s="107"/>
      <c r="MKC2" s="107"/>
      <c r="MKD2" s="107"/>
      <c r="MKE2" s="107"/>
      <c r="MKF2" s="107"/>
      <c r="MKG2" s="107"/>
      <c r="MKH2" s="107"/>
      <c r="MKI2" s="107"/>
      <c r="MKJ2" s="107"/>
      <c r="MKK2" s="107"/>
      <c r="MKL2" s="107"/>
      <c r="MKM2" s="107"/>
      <c r="MKN2" s="107"/>
      <c r="MKO2" s="107"/>
      <c r="MKP2" s="107"/>
      <c r="MKQ2" s="107"/>
      <c r="MKR2" s="107"/>
      <c r="MKS2" s="107"/>
      <c r="MKT2" s="107"/>
      <c r="MKU2" s="107"/>
      <c r="MKV2" s="107"/>
      <c r="MKW2" s="107"/>
      <c r="MKX2" s="107"/>
      <c r="MKY2" s="107"/>
      <c r="MKZ2" s="107"/>
      <c r="MLA2" s="107"/>
      <c r="MLB2" s="107"/>
      <c r="MLC2" s="107"/>
      <c r="MLD2" s="107"/>
      <c r="MLE2" s="107"/>
      <c r="MLF2" s="107"/>
      <c r="MLG2" s="107"/>
      <c r="MLH2" s="107"/>
      <c r="MLI2" s="107"/>
      <c r="MLJ2" s="107"/>
      <c r="MLK2" s="107"/>
      <c r="MLL2" s="107"/>
      <c r="MLM2" s="107"/>
      <c r="MLN2" s="107"/>
      <c r="MLO2" s="107"/>
      <c r="MLP2" s="107"/>
      <c r="MLQ2" s="107"/>
      <c r="MLR2" s="107"/>
      <c r="MLS2" s="107"/>
      <c r="MLT2" s="107"/>
      <c r="MLU2" s="107"/>
      <c r="MLV2" s="107"/>
      <c r="MLW2" s="107"/>
      <c r="MLX2" s="107"/>
      <c r="MLY2" s="107"/>
      <c r="MLZ2" s="107"/>
      <c r="MMA2" s="107"/>
      <c r="MMB2" s="107"/>
      <c r="MMC2" s="107"/>
      <c r="MMD2" s="107"/>
      <c r="MME2" s="107"/>
      <c r="MMF2" s="107"/>
      <c r="MMG2" s="107"/>
      <c r="MMH2" s="107"/>
      <c r="MMI2" s="107"/>
      <c r="MMJ2" s="107"/>
      <c r="MMK2" s="107"/>
      <c r="MML2" s="107"/>
      <c r="MMM2" s="107"/>
      <c r="MMN2" s="107"/>
      <c r="MMO2" s="107"/>
      <c r="MMP2" s="107"/>
      <c r="MMQ2" s="107"/>
      <c r="MMR2" s="107"/>
      <c r="MMS2" s="107"/>
      <c r="MMT2" s="107"/>
      <c r="MMU2" s="107"/>
      <c r="MMV2" s="107"/>
      <c r="MMW2" s="107"/>
      <c r="MMX2" s="107"/>
      <c r="MMY2" s="107"/>
      <c r="MMZ2" s="107"/>
      <c r="MNA2" s="107"/>
      <c r="MNB2" s="107"/>
      <c r="MNC2" s="107"/>
      <c r="MND2" s="107"/>
      <c r="MNE2" s="107"/>
      <c r="MNF2" s="107"/>
      <c r="MNG2" s="107"/>
      <c r="MNH2" s="107"/>
      <c r="MNI2" s="107"/>
      <c r="MNJ2" s="107"/>
      <c r="MNK2" s="107"/>
      <c r="MNL2" s="107"/>
      <c r="MNM2" s="107"/>
      <c r="MNN2" s="107"/>
      <c r="MNO2" s="107"/>
      <c r="MNP2" s="107"/>
      <c r="MNQ2" s="107"/>
      <c r="MNR2" s="107"/>
      <c r="MNS2" s="107"/>
      <c r="MNT2" s="107"/>
      <c r="MNU2" s="107"/>
      <c r="MNV2" s="107"/>
      <c r="MNW2" s="107"/>
      <c r="MNX2" s="107"/>
      <c r="MNY2" s="107"/>
      <c r="MNZ2" s="107"/>
      <c r="MOA2" s="107"/>
      <c r="MOB2" s="107"/>
      <c r="MOC2" s="107"/>
      <c r="MOD2" s="107"/>
      <c r="MOE2" s="107"/>
      <c r="MOF2" s="107"/>
      <c r="MOG2" s="107"/>
      <c r="MOH2" s="107"/>
      <c r="MOI2" s="107"/>
      <c r="MOJ2" s="107"/>
      <c r="MOK2" s="107"/>
      <c r="MOL2" s="107"/>
      <c r="MOM2" s="107"/>
      <c r="MON2" s="107"/>
      <c r="MOO2" s="107"/>
      <c r="MOP2" s="107"/>
      <c r="MOQ2" s="107"/>
      <c r="MOR2" s="107"/>
      <c r="MOS2" s="107"/>
      <c r="MOT2" s="107"/>
      <c r="MOU2" s="107"/>
      <c r="MOV2" s="107"/>
      <c r="MOW2" s="107"/>
      <c r="MOX2" s="107"/>
      <c r="MOY2" s="107"/>
      <c r="MOZ2" s="107"/>
      <c r="MPA2" s="107"/>
      <c r="MPB2" s="107"/>
      <c r="MPC2" s="107"/>
      <c r="MPD2" s="107"/>
      <c r="MPE2" s="107"/>
      <c r="MPF2" s="107"/>
      <c r="MPG2" s="107"/>
      <c r="MPH2" s="107"/>
      <c r="MPI2" s="107"/>
      <c r="MPJ2" s="107"/>
      <c r="MPK2" s="107"/>
      <c r="MPL2" s="107"/>
      <c r="MPM2" s="107"/>
      <c r="MPN2" s="107"/>
      <c r="MPO2" s="107"/>
      <c r="MPP2" s="107"/>
      <c r="MPQ2" s="107"/>
      <c r="MPR2" s="107"/>
      <c r="MPS2" s="107"/>
      <c r="MPT2" s="107"/>
      <c r="MPU2" s="107"/>
      <c r="MPV2" s="107"/>
      <c r="MPW2" s="107"/>
      <c r="MPX2" s="107"/>
      <c r="MPY2" s="107"/>
      <c r="MPZ2" s="107"/>
      <c r="MQA2" s="107"/>
      <c r="MQB2" s="107"/>
      <c r="MQC2" s="107"/>
      <c r="MQD2" s="107"/>
      <c r="MQE2" s="107"/>
      <c r="MQF2" s="107"/>
      <c r="MQG2" s="107"/>
      <c r="MQH2" s="107"/>
      <c r="MQI2" s="107"/>
      <c r="MQJ2" s="107"/>
      <c r="MQK2" s="107"/>
      <c r="MQL2" s="107"/>
      <c r="MQM2" s="107"/>
      <c r="MQN2" s="107"/>
      <c r="MQO2" s="107"/>
      <c r="MQP2" s="107"/>
      <c r="MQQ2" s="107"/>
      <c r="MQR2" s="107"/>
      <c r="MQS2" s="107"/>
      <c r="MQT2" s="107"/>
      <c r="MQU2" s="107"/>
      <c r="MQV2" s="107"/>
      <c r="MQW2" s="107"/>
      <c r="MQX2" s="107"/>
      <c r="MQY2" s="107"/>
      <c r="MQZ2" s="107"/>
      <c r="MRA2" s="107"/>
      <c r="MRB2" s="107"/>
      <c r="MRC2" s="107"/>
      <c r="MRD2" s="107"/>
      <c r="MRE2" s="107"/>
      <c r="MRF2" s="107"/>
      <c r="MRG2" s="107"/>
      <c r="MRH2" s="107"/>
      <c r="MRI2" s="107"/>
      <c r="MRJ2" s="107"/>
      <c r="MRK2" s="107"/>
      <c r="MRL2" s="107"/>
      <c r="MRM2" s="107"/>
      <c r="MRN2" s="107"/>
      <c r="MRO2" s="107"/>
      <c r="MRP2" s="107"/>
      <c r="MRQ2" s="107"/>
      <c r="MRR2" s="107"/>
      <c r="MRS2" s="107"/>
      <c r="MRT2" s="107"/>
      <c r="MRU2" s="107"/>
      <c r="MRV2" s="107"/>
      <c r="MRW2" s="107"/>
      <c r="MRX2" s="107"/>
      <c r="MRY2" s="107"/>
      <c r="MRZ2" s="107"/>
      <c r="MSA2" s="107"/>
      <c r="MSB2" s="107"/>
      <c r="MSC2" s="107"/>
      <c r="MSD2" s="107"/>
      <c r="MSE2" s="107"/>
      <c r="MSF2" s="107"/>
      <c r="MSG2" s="107"/>
      <c r="MSH2" s="107"/>
      <c r="MSI2" s="107"/>
      <c r="MSJ2" s="107"/>
      <c r="MSK2" s="107"/>
      <c r="MSL2" s="107"/>
      <c r="MSM2" s="107"/>
      <c r="MSN2" s="107"/>
      <c r="MSO2" s="107"/>
      <c r="MSP2" s="107"/>
      <c r="MSQ2" s="107"/>
      <c r="MSR2" s="107"/>
      <c r="MSS2" s="107"/>
      <c r="MST2" s="107"/>
      <c r="MSU2" s="107"/>
      <c r="MSV2" s="107"/>
      <c r="MSW2" s="107"/>
      <c r="MSX2" s="107"/>
      <c r="MSY2" s="107"/>
      <c r="MSZ2" s="107"/>
      <c r="MTA2" s="107"/>
      <c r="MTB2" s="107"/>
      <c r="MTC2" s="107"/>
      <c r="MTD2" s="107"/>
      <c r="MTE2" s="107"/>
      <c r="MTF2" s="107"/>
      <c r="MTG2" s="107"/>
      <c r="MTH2" s="107"/>
      <c r="MTI2" s="107"/>
      <c r="MTJ2" s="107"/>
      <c r="MTK2" s="107"/>
      <c r="MTL2" s="107"/>
      <c r="MTM2" s="107"/>
      <c r="MTN2" s="107"/>
      <c r="MTO2" s="107"/>
      <c r="MTP2" s="107"/>
      <c r="MTQ2" s="107"/>
      <c r="MTR2" s="107"/>
      <c r="MTS2" s="107"/>
      <c r="MTT2" s="107"/>
      <c r="MTU2" s="107"/>
      <c r="MTV2" s="107"/>
      <c r="MTW2" s="107"/>
      <c r="MTX2" s="107"/>
      <c r="MTY2" s="107"/>
      <c r="MTZ2" s="107"/>
      <c r="MUA2" s="107"/>
      <c r="MUB2" s="107"/>
      <c r="MUC2" s="107"/>
      <c r="MUD2" s="107"/>
      <c r="MUE2" s="107"/>
      <c r="MUF2" s="107"/>
      <c r="MUG2" s="107"/>
      <c r="MUH2" s="107"/>
      <c r="MUI2" s="107"/>
      <c r="MUJ2" s="107"/>
      <c r="MUK2" s="107"/>
      <c r="MUL2" s="107"/>
      <c r="MUM2" s="107"/>
      <c r="MUN2" s="107"/>
      <c r="MUO2" s="107"/>
      <c r="MUP2" s="107"/>
      <c r="MUQ2" s="107"/>
      <c r="MUR2" s="107"/>
      <c r="MUS2" s="107"/>
      <c r="MUT2" s="107"/>
      <c r="MUU2" s="107"/>
      <c r="MUV2" s="107"/>
      <c r="MUW2" s="107"/>
      <c r="MUX2" s="107"/>
      <c r="MUY2" s="107"/>
      <c r="MUZ2" s="107"/>
      <c r="MVA2" s="107"/>
      <c r="MVB2" s="107"/>
      <c r="MVC2" s="107"/>
      <c r="MVD2" s="107"/>
      <c r="MVE2" s="107"/>
      <c r="MVF2" s="107"/>
      <c r="MVG2" s="107"/>
      <c r="MVH2" s="107"/>
      <c r="MVI2" s="107"/>
      <c r="MVJ2" s="107"/>
      <c r="MVK2" s="107"/>
      <c r="MVL2" s="107"/>
      <c r="MVM2" s="107"/>
      <c r="MVN2" s="107"/>
      <c r="MVO2" s="107"/>
      <c r="MVP2" s="107"/>
      <c r="MVQ2" s="107"/>
      <c r="MVR2" s="107"/>
      <c r="MVS2" s="107"/>
      <c r="MVT2" s="107"/>
      <c r="MVU2" s="107"/>
      <c r="MVV2" s="107"/>
      <c r="MVW2" s="107"/>
      <c r="MVX2" s="107"/>
      <c r="MVY2" s="107"/>
      <c r="MVZ2" s="107"/>
      <c r="MWA2" s="107"/>
      <c r="MWB2" s="107"/>
      <c r="MWC2" s="107"/>
      <c r="MWD2" s="107"/>
      <c r="MWE2" s="107"/>
      <c r="MWF2" s="107"/>
      <c r="MWG2" s="107"/>
      <c r="MWH2" s="107"/>
      <c r="MWI2" s="107"/>
      <c r="MWJ2" s="107"/>
      <c r="MWK2" s="107"/>
      <c r="MWL2" s="107"/>
      <c r="MWM2" s="107"/>
      <c r="MWN2" s="107"/>
      <c r="MWO2" s="107"/>
      <c r="MWP2" s="107"/>
      <c r="MWQ2" s="107"/>
      <c r="MWR2" s="107"/>
      <c r="MWS2" s="107"/>
      <c r="MWT2" s="107"/>
      <c r="MWU2" s="107"/>
      <c r="MWV2" s="107"/>
      <c r="MWW2" s="107"/>
      <c r="MWX2" s="107"/>
      <c r="MWY2" s="107"/>
      <c r="MWZ2" s="107"/>
      <c r="MXA2" s="107"/>
      <c r="MXB2" s="107"/>
      <c r="MXC2" s="107"/>
      <c r="MXD2" s="107"/>
      <c r="MXE2" s="107"/>
      <c r="MXF2" s="107"/>
      <c r="MXG2" s="107"/>
      <c r="MXH2" s="107"/>
      <c r="MXI2" s="107"/>
      <c r="MXJ2" s="107"/>
      <c r="MXK2" s="107"/>
      <c r="MXL2" s="107"/>
      <c r="MXM2" s="107"/>
      <c r="MXN2" s="107"/>
      <c r="MXO2" s="107"/>
      <c r="MXP2" s="107"/>
      <c r="MXQ2" s="107"/>
      <c r="MXR2" s="107"/>
      <c r="MXS2" s="107"/>
      <c r="MXT2" s="107"/>
      <c r="MXU2" s="107"/>
      <c r="MXV2" s="107"/>
      <c r="MXW2" s="107"/>
      <c r="MXX2" s="107"/>
      <c r="MXY2" s="107"/>
      <c r="MXZ2" s="107"/>
      <c r="MYA2" s="107"/>
      <c r="MYB2" s="107"/>
      <c r="MYC2" s="107"/>
      <c r="MYD2" s="107"/>
      <c r="MYE2" s="107"/>
      <c r="MYF2" s="107"/>
      <c r="MYG2" s="107"/>
      <c r="MYH2" s="107"/>
      <c r="MYI2" s="107"/>
      <c r="MYJ2" s="107"/>
      <c r="MYK2" s="107"/>
      <c r="MYL2" s="107"/>
      <c r="MYM2" s="107"/>
      <c r="MYN2" s="107"/>
      <c r="MYO2" s="107"/>
      <c r="MYP2" s="107"/>
      <c r="MYQ2" s="107"/>
      <c r="MYR2" s="107"/>
      <c r="MYS2" s="107"/>
      <c r="MYT2" s="107"/>
      <c r="MYU2" s="107"/>
      <c r="MYV2" s="107"/>
      <c r="MYW2" s="107"/>
      <c r="MYX2" s="107"/>
      <c r="MYY2" s="107"/>
      <c r="MYZ2" s="107"/>
      <c r="MZA2" s="107"/>
      <c r="MZB2" s="107"/>
      <c r="MZC2" s="107"/>
      <c r="MZD2" s="107"/>
      <c r="MZE2" s="107"/>
      <c r="MZF2" s="107"/>
      <c r="MZG2" s="107"/>
      <c r="MZH2" s="107"/>
      <c r="MZI2" s="107"/>
      <c r="MZJ2" s="107"/>
      <c r="MZK2" s="107"/>
      <c r="MZL2" s="107"/>
      <c r="MZM2" s="107"/>
      <c r="MZN2" s="107"/>
      <c r="MZO2" s="107"/>
      <c r="MZP2" s="107"/>
      <c r="MZQ2" s="107"/>
      <c r="MZR2" s="107"/>
      <c r="MZS2" s="107"/>
      <c r="MZT2" s="107"/>
      <c r="MZU2" s="107"/>
      <c r="MZV2" s="107"/>
      <c r="MZW2" s="107"/>
      <c r="MZX2" s="107"/>
      <c r="MZY2" s="107"/>
      <c r="MZZ2" s="107"/>
      <c r="NAA2" s="107"/>
      <c r="NAB2" s="107"/>
      <c r="NAC2" s="107"/>
      <c r="NAD2" s="107"/>
      <c r="NAE2" s="107"/>
      <c r="NAF2" s="107"/>
      <c r="NAG2" s="107"/>
      <c r="NAH2" s="107"/>
      <c r="NAI2" s="107"/>
      <c r="NAJ2" s="107"/>
      <c r="NAK2" s="107"/>
      <c r="NAL2" s="107"/>
      <c r="NAM2" s="107"/>
      <c r="NAN2" s="107"/>
      <c r="NAO2" s="107"/>
      <c r="NAP2" s="107"/>
      <c r="NAQ2" s="107"/>
      <c r="NAR2" s="107"/>
      <c r="NAS2" s="107"/>
      <c r="NAT2" s="107"/>
      <c r="NAU2" s="107"/>
      <c r="NAV2" s="107"/>
      <c r="NAW2" s="107"/>
      <c r="NAX2" s="107"/>
      <c r="NAY2" s="107"/>
      <c r="NAZ2" s="107"/>
      <c r="NBA2" s="107"/>
      <c r="NBB2" s="107"/>
      <c r="NBC2" s="107"/>
      <c r="NBD2" s="107"/>
      <c r="NBE2" s="107"/>
      <c r="NBF2" s="107"/>
      <c r="NBG2" s="107"/>
      <c r="NBH2" s="107"/>
      <c r="NBI2" s="107"/>
      <c r="NBJ2" s="107"/>
      <c r="NBK2" s="107"/>
      <c r="NBL2" s="107"/>
      <c r="NBM2" s="107"/>
      <c r="NBN2" s="107"/>
      <c r="NBO2" s="107"/>
      <c r="NBP2" s="107"/>
      <c r="NBQ2" s="107"/>
      <c r="NBR2" s="107"/>
      <c r="NBS2" s="107"/>
      <c r="NBT2" s="107"/>
      <c r="NBU2" s="107"/>
      <c r="NBV2" s="107"/>
      <c r="NBW2" s="107"/>
      <c r="NBX2" s="107"/>
      <c r="NBY2" s="107"/>
      <c r="NBZ2" s="107"/>
      <c r="NCA2" s="107"/>
      <c r="NCB2" s="107"/>
      <c r="NCC2" s="107"/>
      <c r="NCD2" s="107"/>
      <c r="NCE2" s="107"/>
      <c r="NCF2" s="107"/>
      <c r="NCG2" s="107"/>
      <c r="NCH2" s="107"/>
      <c r="NCI2" s="107"/>
      <c r="NCJ2" s="107"/>
      <c r="NCK2" s="107"/>
      <c r="NCL2" s="107"/>
      <c r="NCM2" s="107"/>
      <c r="NCN2" s="107"/>
      <c r="NCO2" s="107"/>
      <c r="NCP2" s="107"/>
      <c r="NCQ2" s="107"/>
      <c r="NCR2" s="107"/>
      <c r="NCS2" s="107"/>
      <c r="NCT2" s="107"/>
      <c r="NCU2" s="107"/>
      <c r="NCV2" s="107"/>
      <c r="NCW2" s="107"/>
      <c r="NCX2" s="107"/>
      <c r="NCY2" s="107"/>
      <c r="NCZ2" s="107"/>
      <c r="NDA2" s="107"/>
      <c r="NDB2" s="107"/>
      <c r="NDC2" s="107"/>
      <c r="NDD2" s="107"/>
      <c r="NDE2" s="107"/>
      <c r="NDF2" s="107"/>
      <c r="NDG2" s="107"/>
      <c r="NDH2" s="107"/>
      <c r="NDI2" s="107"/>
      <c r="NDJ2" s="107"/>
      <c r="NDK2" s="107"/>
      <c r="NDL2" s="107"/>
      <c r="NDM2" s="107"/>
      <c r="NDN2" s="107"/>
      <c r="NDO2" s="107"/>
      <c r="NDP2" s="107"/>
      <c r="NDQ2" s="107"/>
      <c r="NDR2" s="107"/>
      <c r="NDS2" s="107"/>
      <c r="NDT2" s="107"/>
      <c r="NDU2" s="107"/>
      <c r="NDV2" s="107"/>
      <c r="NDW2" s="107"/>
      <c r="NDX2" s="107"/>
      <c r="NDY2" s="107"/>
      <c r="NDZ2" s="107"/>
      <c r="NEA2" s="107"/>
      <c r="NEB2" s="107"/>
      <c r="NEC2" s="107"/>
      <c r="NED2" s="107"/>
      <c r="NEE2" s="107"/>
      <c r="NEF2" s="107"/>
      <c r="NEG2" s="107"/>
      <c r="NEH2" s="107"/>
      <c r="NEI2" s="107"/>
      <c r="NEJ2" s="107"/>
      <c r="NEK2" s="107"/>
      <c r="NEL2" s="107"/>
      <c r="NEM2" s="107"/>
      <c r="NEN2" s="107"/>
      <c r="NEO2" s="107"/>
      <c r="NEP2" s="107"/>
      <c r="NEQ2" s="107"/>
      <c r="NER2" s="107"/>
      <c r="NES2" s="107"/>
      <c r="NET2" s="107"/>
      <c r="NEU2" s="107"/>
      <c r="NEV2" s="107"/>
      <c r="NEW2" s="107"/>
      <c r="NEX2" s="107"/>
      <c r="NEY2" s="107"/>
      <c r="NEZ2" s="107"/>
      <c r="NFA2" s="107"/>
      <c r="NFB2" s="107"/>
      <c r="NFC2" s="107"/>
      <c r="NFD2" s="107"/>
      <c r="NFE2" s="107"/>
      <c r="NFF2" s="107"/>
      <c r="NFG2" s="107"/>
      <c r="NFH2" s="107"/>
      <c r="NFI2" s="107"/>
      <c r="NFJ2" s="107"/>
      <c r="NFK2" s="107"/>
      <c r="NFL2" s="107"/>
      <c r="NFM2" s="107"/>
      <c r="NFN2" s="107"/>
      <c r="NFO2" s="107"/>
      <c r="NFP2" s="107"/>
      <c r="NFQ2" s="107"/>
      <c r="NFR2" s="107"/>
      <c r="NFS2" s="107"/>
      <c r="NFT2" s="107"/>
      <c r="NFU2" s="107"/>
      <c r="NFV2" s="107"/>
      <c r="NFW2" s="107"/>
      <c r="NFX2" s="107"/>
      <c r="NFY2" s="107"/>
      <c r="NFZ2" s="107"/>
      <c r="NGA2" s="107"/>
      <c r="NGB2" s="107"/>
      <c r="NGC2" s="107"/>
      <c r="NGD2" s="107"/>
      <c r="NGE2" s="107"/>
      <c r="NGF2" s="107"/>
      <c r="NGG2" s="107"/>
      <c r="NGH2" s="107"/>
      <c r="NGI2" s="107"/>
      <c r="NGJ2" s="107"/>
      <c r="NGK2" s="107"/>
      <c r="NGL2" s="107"/>
      <c r="NGM2" s="107"/>
      <c r="NGN2" s="107"/>
      <c r="NGO2" s="107"/>
      <c r="NGP2" s="107"/>
      <c r="NGQ2" s="107"/>
      <c r="NGR2" s="107"/>
      <c r="NGS2" s="107"/>
      <c r="NGT2" s="107"/>
      <c r="NGU2" s="107"/>
      <c r="NGV2" s="107"/>
      <c r="NGW2" s="107"/>
      <c r="NGX2" s="107"/>
      <c r="NGY2" s="107"/>
      <c r="NGZ2" s="107"/>
      <c r="NHA2" s="107"/>
      <c r="NHB2" s="107"/>
      <c r="NHC2" s="107"/>
      <c r="NHD2" s="107"/>
      <c r="NHE2" s="107"/>
      <c r="NHF2" s="107"/>
      <c r="NHG2" s="107"/>
      <c r="NHH2" s="107"/>
      <c r="NHI2" s="107"/>
      <c r="NHJ2" s="107"/>
      <c r="NHK2" s="107"/>
      <c r="NHL2" s="107"/>
      <c r="NHM2" s="107"/>
      <c r="NHN2" s="107"/>
      <c r="NHO2" s="107"/>
      <c r="NHP2" s="107"/>
      <c r="NHQ2" s="107"/>
      <c r="NHR2" s="107"/>
      <c r="NHS2" s="107"/>
      <c r="NHT2" s="107"/>
      <c r="NHU2" s="107"/>
      <c r="NHV2" s="107"/>
      <c r="NHW2" s="107"/>
      <c r="NHX2" s="107"/>
      <c r="NHY2" s="107"/>
      <c r="NHZ2" s="107"/>
      <c r="NIA2" s="107"/>
      <c r="NIB2" s="107"/>
      <c r="NIC2" s="107"/>
      <c r="NID2" s="107"/>
      <c r="NIE2" s="107"/>
      <c r="NIF2" s="107"/>
      <c r="NIG2" s="107"/>
      <c r="NIH2" s="107"/>
      <c r="NII2" s="107"/>
      <c r="NIJ2" s="107"/>
      <c r="NIK2" s="107"/>
      <c r="NIL2" s="107"/>
      <c r="NIM2" s="107"/>
      <c r="NIN2" s="107"/>
      <c r="NIO2" s="107"/>
      <c r="NIP2" s="107"/>
      <c r="NIQ2" s="107"/>
      <c r="NIR2" s="107"/>
      <c r="NIS2" s="107"/>
      <c r="NIT2" s="107"/>
      <c r="NIU2" s="107"/>
      <c r="NIV2" s="107"/>
      <c r="NIW2" s="107"/>
      <c r="NIX2" s="107"/>
      <c r="NIY2" s="107"/>
      <c r="NIZ2" s="107"/>
      <c r="NJA2" s="107"/>
      <c r="NJB2" s="107"/>
      <c r="NJC2" s="107"/>
      <c r="NJD2" s="107"/>
      <c r="NJE2" s="107"/>
      <c r="NJF2" s="107"/>
      <c r="NJG2" s="107"/>
      <c r="NJH2" s="107"/>
      <c r="NJI2" s="107"/>
      <c r="NJJ2" s="107"/>
      <c r="NJK2" s="107"/>
      <c r="NJL2" s="107"/>
      <c r="NJM2" s="107"/>
      <c r="NJN2" s="107"/>
      <c r="NJO2" s="107"/>
      <c r="NJP2" s="107"/>
      <c r="NJQ2" s="107"/>
      <c r="NJR2" s="107"/>
      <c r="NJS2" s="107"/>
      <c r="NJT2" s="107"/>
      <c r="NJU2" s="107"/>
      <c r="NJV2" s="107"/>
      <c r="NJW2" s="107"/>
      <c r="NJX2" s="107"/>
      <c r="NJY2" s="107"/>
      <c r="NJZ2" s="107"/>
      <c r="NKA2" s="107"/>
      <c r="NKB2" s="107"/>
      <c r="NKC2" s="107"/>
      <c r="NKD2" s="107"/>
      <c r="NKE2" s="107"/>
      <c r="NKF2" s="107"/>
      <c r="NKG2" s="107"/>
      <c r="NKH2" s="107"/>
      <c r="NKI2" s="107"/>
      <c r="NKJ2" s="107"/>
      <c r="NKK2" s="107"/>
      <c r="NKL2" s="107"/>
      <c r="NKM2" s="107"/>
      <c r="NKN2" s="107"/>
      <c r="NKO2" s="107"/>
      <c r="NKP2" s="107"/>
      <c r="NKQ2" s="107"/>
      <c r="NKR2" s="107"/>
      <c r="NKS2" s="107"/>
      <c r="NKT2" s="107"/>
      <c r="NKU2" s="107"/>
      <c r="NKV2" s="107"/>
      <c r="NKW2" s="107"/>
      <c r="NKX2" s="107"/>
      <c r="NKY2" s="107"/>
      <c r="NKZ2" s="107"/>
      <c r="NLA2" s="107"/>
      <c r="NLB2" s="107"/>
      <c r="NLC2" s="107"/>
      <c r="NLD2" s="107"/>
      <c r="NLE2" s="107"/>
      <c r="NLF2" s="107"/>
      <c r="NLG2" s="107"/>
      <c r="NLH2" s="107"/>
      <c r="NLI2" s="107"/>
      <c r="NLJ2" s="107"/>
      <c r="NLK2" s="107"/>
      <c r="NLL2" s="107"/>
      <c r="NLM2" s="107"/>
      <c r="NLN2" s="107"/>
      <c r="NLO2" s="107"/>
      <c r="NLP2" s="107"/>
      <c r="NLQ2" s="107"/>
      <c r="NLR2" s="107"/>
      <c r="NLS2" s="107"/>
      <c r="NLT2" s="107"/>
      <c r="NLU2" s="107"/>
      <c r="NLV2" s="107"/>
      <c r="NLW2" s="107"/>
      <c r="NLX2" s="107"/>
      <c r="NLY2" s="107"/>
      <c r="NLZ2" s="107"/>
      <c r="NMA2" s="107"/>
      <c r="NMB2" s="107"/>
      <c r="NMC2" s="107"/>
      <c r="NMD2" s="107"/>
      <c r="NME2" s="107"/>
      <c r="NMF2" s="107"/>
      <c r="NMG2" s="107"/>
      <c r="NMH2" s="107"/>
      <c r="NMI2" s="107"/>
      <c r="NMJ2" s="107"/>
      <c r="NMK2" s="107"/>
      <c r="NML2" s="107"/>
      <c r="NMM2" s="107"/>
      <c r="NMN2" s="107"/>
      <c r="NMO2" s="107"/>
      <c r="NMP2" s="107"/>
      <c r="NMQ2" s="107"/>
      <c r="NMR2" s="107"/>
      <c r="NMS2" s="107"/>
      <c r="NMT2" s="107"/>
      <c r="NMU2" s="107"/>
      <c r="NMV2" s="107"/>
      <c r="NMW2" s="107"/>
      <c r="NMX2" s="107"/>
      <c r="NMY2" s="107"/>
      <c r="NMZ2" s="107"/>
      <c r="NNA2" s="107"/>
      <c r="NNB2" s="107"/>
      <c r="NNC2" s="107"/>
      <c r="NND2" s="107"/>
      <c r="NNE2" s="107"/>
      <c r="NNF2" s="107"/>
      <c r="NNG2" s="107"/>
      <c r="NNH2" s="107"/>
      <c r="NNI2" s="107"/>
      <c r="NNJ2" s="107"/>
      <c r="NNK2" s="107"/>
      <c r="NNL2" s="107"/>
      <c r="NNM2" s="107"/>
      <c r="NNN2" s="107"/>
      <c r="NNO2" s="107"/>
      <c r="NNP2" s="107"/>
      <c r="NNQ2" s="107"/>
      <c r="NNR2" s="107"/>
      <c r="NNS2" s="107"/>
      <c r="NNT2" s="107"/>
      <c r="NNU2" s="107"/>
      <c r="NNV2" s="107"/>
      <c r="NNW2" s="107"/>
      <c r="NNX2" s="107"/>
      <c r="NNY2" s="107"/>
      <c r="NNZ2" s="107"/>
      <c r="NOA2" s="107"/>
      <c r="NOB2" s="107"/>
      <c r="NOC2" s="107"/>
      <c r="NOD2" s="107"/>
      <c r="NOE2" s="107"/>
      <c r="NOF2" s="107"/>
      <c r="NOG2" s="107"/>
      <c r="NOH2" s="107"/>
      <c r="NOI2" s="107"/>
      <c r="NOJ2" s="107"/>
      <c r="NOK2" s="107"/>
      <c r="NOL2" s="107"/>
      <c r="NOM2" s="107"/>
      <c r="NON2" s="107"/>
      <c r="NOO2" s="107"/>
      <c r="NOP2" s="107"/>
      <c r="NOQ2" s="107"/>
      <c r="NOR2" s="107"/>
      <c r="NOS2" s="107"/>
      <c r="NOT2" s="107"/>
      <c r="NOU2" s="107"/>
      <c r="NOV2" s="107"/>
      <c r="NOW2" s="107"/>
      <c r="NOX2" s="107"/>
      <c r="NOY2" s="107"/>
      <c r="NOZ2" s="107"/>
      <c r="NPA2" s="107"/>
      <c r="NPB2" s="107"/>
      <c r="NPC2" s="107"/>
      <c r="NPD2" s="107"/>
      <c r="NPE2" s="107"/>
      <c r="NPF2" s="107"/>
      <c r="NPG2" s="107"/>
      <c r="NPH2" s="107"/>
      <c r="NPI2" s="107"/>
      <c r="NPJ2" s="107"/>
      <c r="NPK2" s="107"/>
      <c r="NPL2" s="107"/>
      <c r="NPM2" s="107"/>
      <c r="NPN2" s="107"/>
      <c r="NPO2" s="107"/>
      <c r="NPP2" s="107"/>
      <c r="NPQ2" s="107"/>
      <c r="NPR2" s="107"/>
      <c r="NPS2" s="107"/>
      <c r="NPT2" s="107"/>
      <c r="NPU2" s="107"/>
      <c r="NPV2" s="107"/>
      <c r="NPW2" s="107"/>
      <c r="NPX2" s="107"/>
      <c r="NPY2" s="107"/>
      <c r="NPZ2" s="107"/>
      <c r="NQA2" s="107"/>
      <c r="NQB2" s="107"/>
      <c r="NQC2" s="107"/>
      <c r="NQD2" s="107"/>
      <c r="NQE2" s="107"/>
      <c r="NQF2" s="107"/>
      <c r="NQG2" s="107"/>
      <c r="NQH2" s="107"/>
      <c r="NQI2" s="107"/>
      <c r="NQJ2" s="107"/>
      <c r="NQK2" s="107"/>
      <c r="NQL2" s="107"/>
      <c r="NQM2" s="107"/>
      <c r="NQN2" s="107"/>
      <c r="NQO2" s="107"/>
      <c r="NQP2" s="107"/>
      <c r="NQQ2" s="107"/>
      <c r="NQR2" s="107"/>
      <c r="NQS2" s="107"/>
      <c r="NQT2" s="107"/>
      <c r="NQU2" s="107"/>
      <c r="NQV2" s="107"/>
      <c r="NQW2" s="107"/>
      <c r="NQX2" s="107"/>
      <c r="NQY2" s="107"/>
      <c r="NQZ2" s="107"/>
      <c r="NRA2" s="107"/>
      <c r="NRB2" s="107"/>
      <c r="NRC2" s="107"/>
      <c r="NRD2" s="107"/>
      <c r="NRE2" s="107"/>
      <c r="NRF2" s="107"/>
      <c r="NRG2" s="107"/>
      <c r="NRH2" s="107"/>
      <c r="NRI2" s="107"/>
      <c r="NRJ2" s="107"/>
      <c r="NRK2" s="107"/>
      <c r="NRL2" s="107"/>
      <c r="NRM2" s="107"/>
      <c r="NRN2" s="107"/>
      <c r="NRO2" s="107"/>
      <c r="NRP2" s="107"/>
      <c r="NRQ2" s="107"/>
      <c r="NRR2" s="107"/>
      <c r="NRS2" s="107"/>
      <c r="NRT2" s="107"/>
      <c r="NRU2" s="107"/>
      <c r="NRV2" s="107"/>
      <c r="NRW2" s="107"/>
      <c r="NRX2" s="107"/>
      <c r="NRY2" s="107"/>
      <c r="NRZ2" s="107"/>
      <c r="NSA2" s="107"/>
      <c r="NSB2" s="107"/>
      <c r="NSC2" s="107"/>
      <c r="NSD2" s="107"/>
      <c r="NSE2" s="107"/>
      <c r="NSF2" s="107"/>
      <c r="NSG2" s="107"/>
      <c r="NSH2" s="107"/>
      <c r="NSI2" s="107"/>
      <c r="NSJ2" s="107"/>
      <c r="NSK2" s="107"/>
      <c r="NSL2" s="107"/>
      <c r="NSM2" s="107"/>
      <c r="NSN2" s="107"/>
      <c r="NSO2" s="107"/>
      <c r="NSP2" s="107"/>
      <c r="NSQ2" s="107"/>
      <c r="NSR2" s="107"/>
      <c r="NSS2" s="107"/>
      <c r="NST2" s="107"/>
      <c r="NSU2" s="107"/>
      <c r="NSV2" s="107"/>
      <c r="NSW2" s="107"/>
      <c r="NSX2" s="107"/>
      <c r="NSY2" s="107"/>
      <c r="NSZ2" s="107"/>
      <c r="NTA2" s="107"/>
      <c r="NTB2" s="107"/>
      <c r="NTC2" s="107"/>
      <c r="NTD2" s="107"/>
      <c r="NTE2" s="107"/>
      <c r="NTF2" s="107"/>
      <c r="NTG2" s="107"/>
      <c r="NTH2" s="107"/>
      <c r="NTI2" s="107"/>
      <c r="NTJ2" s="107"/>
      <c r="NTK2" s="107"/>
      <c r="NTL2" s="107"/>
      <c r="NTM2" s="107"/>
      <c r="NTN2" s="107"/>
      <c r="NTO2" s="107"/>
      <c r="NTP2" s="107"/>
      <c r="NTQ2" s="107"/>
      <c r="NTR2" s="107"/>
      <c r="NTS2" s="107"/>
      <c r="NTT2" s="107"/>
      <c r="NTU2" s="107"/>
      <c r="NTV2" s="107"/>
      <c r="NTW2" s="107"/>
      <c r="NTX2" s="107"/>
      <c r="NTY2" s="107"/>
      <c r="NTZ2" s="107"/>
      <c r="NUA2" s="107"/>
      <c r="NUB2" s="107"/>
      <c r="NUC2" s="107"/>
      <c r="NUD2" s="107"/>
      <c r="NUE2" s="107"/>
      <c r="NUF2" s="107"/>
      <c r="NUG2" s="107"/>
      <c r="NUH2" s="107"/>
      <c r="NUI2" s="107"/>
      <c r="NUJ2" s="107"/>
      <c r="NUK2" s="107"/>
      <c r="NUL2" s="107"/>
      <c r="NUM2" s="107"/>
      <c r="NUN2" s="107"/>
      <c r="NUO2" s="107"/>
      <c r="NUP2" s="107"/>
      <c r="NUQ2" s="107"/>
      <c r="NUR2" s="107"/>
      <c r="NUS2" s="107"/>
      <c r="NUT2" s="107"/>
      <c r="NUU2" s="107"/>
      <c r="NUV2" s="107"/>
      <c r="NUW2" s="107"/>
      <c r="NUX2" s="107"/>
      <c r="NUY2" s="107"/>
      <c r="NUZ2" s="107"/>
      <c r="NVA2" s="107"/>
      <c r="NVB2" s="107"/>
      <c r="NVC2" s="107"/>
      <c r="NVD2" s="107"/>
      <c r="NVE2" s="107"/>
      <c r="NVF2" s="107"/>
      <c r="NVG2" s="107"/>
      <c r="NVH2" s="107"/>
      <c r="NVI2" s="107"/>
      <c r="NVJ2" s="107"/>
      <c r="NVK2" s="107"/>
      <c r="NVL2" s="107"/>
      <c r="NVM2" s="107"/>
      <c r="NVN2" s="107"/>
      <c r="NVO2" s="107"/>
      <c r="NVP2" s="107"/>
      <c r="NVQ2" s="107"/>
      <c r="NVR2" s="107"/>
      <c r="NVS2" s="107"/>
      <c r="NVT2" s="107"/>
      <c r="NVU2" s="107"/>
      <c r="NVV2" s="107"/>
      <c r="NVW2" s="107"/>
      <c r="NVX2" s="107"/>
      <c r="NVY2" s="107"/>
      <c r="NVZ2" s="107"/>
      <c r="NWA2" s="107"/>
      <c r="NWB2" s="107"/>
      <c r="NWC2" s="107"/>
      <c r="NWD2" s="107"/>
      <c r="NWE2" s="107"/>
      <c r="NWF2" s="107"/>
      <c r="NWG2" s="107"/>
      <c r="NWH2" s="107"/>
      <c r="NWI2" s="107"/>
      <c r="NWJ2" s="107"/>
      <c r="NWK2" s="107"/>
      <c r="NWL2" s="107"/>
      <c r="NWM2" s="107"/>
      <c r="NWN2" s="107"/>
      <c r="NWO2" s="107"/>
      <c r="NWP2" s="107"/>
      <c r="NWQ2" s="107"/>
      <c r="NWR2" s="107"/>
      <c r="NWS2" s="107"/>
      <c r="NWT2" s="107"/>
      <c r="NWU2" s="107"/>
      <c r="NWV2" s="107"/>
      <c r="NWW2" s="107"/>
      <c r="NWX2" s="107"/>
      <c r="NWY2" s="107"/>
      <c r="NWZ2" s="107"/>
      <c r="NXA2" s="107"/>
      <c r="NXB2" s="107"/>
      <c r="NXC2" s="107"/>
      <c r="NXD2" s="107"/>
      <c r="NXE2" s="107"/>
      <c r="NXF2" s="107"/>
      <c r="NXG2" s="107"/>
      <c r="NXH2" s="107"/>
      <c r="NXI2" s="107"/>
      <c r="NXJ2" s="107"/>
      <c r="NXK2" s="107"/>
      <c r="NXL2" s="107"/>
      <c r="NXM2" s="107"/>
      <c r="NXN2" s="107"/>
      <c r="NXO2" s="107"/>
      <c r="NXP2" s="107"/>
      <c r="NXQ2" s="107"/>
      <c r="NXR2" s="107"/>
      <c r="NXS2" s="107"/>
      <c r="NXT2" s="107"/>
      <c r="NXU2" s="107"/>
      <c r="NXV2" s="107"/>
      <c r="NXW2" s="107"/>
      <c r="NXX2" s="107"/>
      <c r="NXY2" s="107"/>
      <c r="NXZ2" s="107"/>
      <c r="NYA2" s="107"/>
      <c r="NYB2" s="107"/>
      <c r="NYC2" s="107"/>
      <c r="NYD2" s="107"/>
      <c r="NYE2" s="107"/>
      <c r="NYF2" s="107"/>
      <c r="NYG2" s="107"/>
      <c r="NYH2" s="107"/>
      <c r="NYI2" s="107"/>
      <c r="NYJ2" s="107"/>
      <c r="NYK2" s="107"/>
      <c r="NYL2" s="107"/>
      <c r="NYM2" s="107"/>
      <c r="NYN2" s="107"/>
      <c r="NYO2" s="107"/>
      <c r="NYP2" s="107"/>
      <c r="NYQ2" s="107"/>
      <c r="NYR2" s="107"/>
      <c r="NYS2" s="107"/>
      <c r="NYT2" s="107"/>
      <c r="NYU2" s="107"/>
      <c r="NYV2" s="107"/>
      <c r="NYW2" s="107"/>
      <c r="NYX2" s="107"/>
      <c r="NYY2" s="107"/>
      <c r="NYZ2" s="107"/>
      <c r="NZA2" s="107"/>
      <c r="NZB2" s="107"/>
      <c r="NZC2" s="107"/>
      <c r="NZD2" s="107"/>
      <c r="NZE2" s="107"/>
      <c r="NZF2" s="107"/>
      <c r="NZG2" s="107"/>
      <c r="NZH2" s="107"/>
      <c r="NZI2" s="107"/>
      <c r="NZJ2" s="107"/>
      <c r="NZK2" s="107"/>
      <c r="NZL2" s="107"/>
      <c r="NZM2" s="107"/>
      <c r="NZN2" s="107"/>
      <c r="NZO2" s="107"/>
      <c r="NZP2" s="107"/>
      <c r="NZQ2" s="107"/>
      <c r="NZR2" s="107"/>
      <c r="NZS2" s="107"/>
      <c r="NZT2" s="107"/>
      <c r="NZU2" s="107"/>
      <c r="NZV2" s="107"/>
      <c r="NZW2" s="107"/>
      <c r="NZX2" s="107"/>
      <c r="NZY2" s="107"/>
      <c r="NZZ2" s="107"/>
      <c r="OAA2" s="107"/>
      <c r="OAB2" s="107"/>
      <c r="OAC2" s="107"/>
      <c r="OAD2" s="107"/>
      <c r="OAE2" s="107"/>
      <c r="OAF2" s="107"/>
      <c r="OAG2" s="107"/>
      <c r="OAH2" s="107"/>
      <c r="OAI2" s="107"/>
      <c r="OAJ2" s="107"/>
      <c r="OAK2" s="107"/>
      <c r="OAL2" s="107"/>
      <c r="OAM2" s="107"/>
      <c r="OAN2" s="107"/>
      <c r="OAO2" s="107"/>
      <c r="OAP2" s="107"/>
      <c r="OAQ2" s="107"/>
      <c r="OAR2" s="107"/>
      <c r="OAS2" s="107"/>
      <c r="OAT2" s="107"/>
      <c r="OAU2" s="107"/>
      <c r="OAV2" s="107"/>
      <c r="OAW2" s="107"/>
      <c r="OAX2" s="107"/>
      <c r="OAY2" s="107"/>
      <c r="OAZ2" s="107"/>
      <c r="OBA2" s="107"/>
      <c r="OBB2" s="107"/>
      <c r="OBC2" s="107"/>
      <c r="OBD2" s="107"/>
      <c r="OBE2" s="107"/>
      <c r="OBF2" s="107"/>
      <c r="OBG2" s="107"/>
      <c r="OBH2" s="107"/>
      <c r="OBI2" s="107"/>
      <c r="OBJ2" s="107"/>
      <c r="OBK2" s="107"/>
      <c r="OBL2" s="107"/>
      <c r="OBM2" s="107"/>
      <c r="OBN2" s="107"/>
      <c r="OBO2" s="107"/>
      <c r="OBP2" s="107"/>
      <c r="OBQ2" s="107"/>
      <c r="OBR2" s="107"/>
      <c r="OBS2" s="107"/>
      <c r="OBT2" s="107"/>
      <c r="OBU2" s="107"/>
      <c r="OBV2" s="107"/>
      <c r="OBW2" s="107"/>
      <c r="OBX2" s="107"/>
      <c r="OBY2" s="107"/>
      <c r="OBZ2" s="107"/>
      <c r="OCA2" s="107"/>
      <c r="OCB2" s="107"/>
      <c r="OCC2" s="107"/>
      <c r="OCD2" s="107"/>
      <c r="OCE2" s="107"/>
      <c r="OCF2" s="107"/>
      <c r="OCG2" s="107"/>
      <c r="OCH2" s="107"/>
      <c r="OCI2" s="107"/>
      <c r="OCJ2" s="107"/>
      <c r="OCK2" s="107"/>
      <c r="OCL2" s="107"/>
      <c r="OCM2" s="107"/>
      <c r="OCN2" s="107"/>
      <c r="OCO2" s="107"/>
      <c r="OCP2" s="107"/>
      <c r="OCQ2" s="107"/>
      <c r="OCR2" s="107"/>
      <c r="OCS2" s="107"/>
      <c r="OCT2" s="107"/>
      <c r="OCU2" s="107"/>
      <c r="OCV2" s="107"/>
      <c r="OCW2" s="107"/>
      <c r="OCX2" s="107"/>
      <c r="OCY2" s="107"/>
      <c r="OCZ2" s="107"/>
      <c r="ODA2" s="107"/>
      <c r="ODB2" s="107"/>
      <c r="ODC2" s="107"/>
      <c r="ODD2" s="107"/>
      <c r="ODE2" s="107"/>
      <c r="ODF2" s="107"/>
      <c r="ODG2" s="107"/>
      <c r="ODH2" s="107"/>
      <c r="ODI2" s="107"/>
      <c r="ODJ2" s="107"/>
      <c r="ODK2" s="107"/>
      <c r="ODL2" s="107"/>
      <c r="ODM2" s="107"/>
      <c r="ODN2" s="107"/>
      <c r="ODO2" s="107"/>
      <c r="ODP2" s="107"/>
      <c r="ODQ2" s="107"/>
      <c r="ODR2" s="107"/>
      <c r="ODS2" s="107"/>
      <c r="ODT2" s="107"/>
      <c r="ODU2" s="107"/>
      <c r="ODV2" s="107"/>
      <c r="ODW2" s="107"/>
      <c r="ODX2" s="107"/>
      <c r="ODY2" s="107"/>
      <c r="ODZ2" s="107"/>
      <c r="OEA2" s="107"/>
      <c r="OEB2" s="107"/>
      <c r="OEC2" s="107"/>
      <c r="OED2" s="107"/>
      <c r="OEE2" s="107"/>
      <c r="OEF2" s="107"/>
      <c r="OEG2" s="107"/>
      <c r="OEH2" s="107"/>
      <c r="OEI2" s="107"/>
      <c r="OEJ2" s="107"/>
      <c r="OEK2" s="107"/>
      <c r="OEL2" s="107"/>
      <c r="OEM2" s="107"/>
      <c r="OEN2" s="107"/>
      <c r="OEO2" s="107"/>
      <c r="OEP2" s="107"/>
      <c r="OEQ2" s="107"/>
      <c r="OER2" s="107"/>
      <c r="OES2" s="107"/>
      <c r="OET2" s="107"/>
      <c r="OEU2" s="107"/>
      <c r="OEV2" s="107"/>
      <c r="OEW2" s="107"/>
      <c r="OEX2" s="107"/>
      <c r="OEY2" s="107"/>
      <c r="OEZ2" s="107"/>
      <c r="OFA2" s="107"/>
      <c r="OFB2" s="107"/>
      <c r="OFC2" s="107"/>
      <c r="OFD2" s="107"/>
      <c r="OFE2" s="107"/>
      <c r="OFF2" s="107"/>
      <c r="OFG2" s="107"/>
      <c r="OFH2" s="107"/>
      <c r="OFI2" s="107"/>
      <c r="OFJ2" s="107"/>
      <c r="OFK2" s="107"/>
      <c r="OFL2" s="107"/>
      <c r="OFM2" s="107"/>
      <c r="OFN2" s="107"/>
      <c r="OFO2" s="107"/>
      <c r="OFP2" s="107"/>
      <c r="OFQ2" s="107"/>
      <c r="OFR2" s="107"/>
      <c r="OFS2" s="107"/>
      <c r="OFT2" s="107"/>
      <c r="OFU2" s="107"/>
      <c r="OFV2" s="107"/>
      <c r="OFW2" s="107"/>
      <c r="OFX2" s="107"/>
      <c r="OFY2" s="107"/>
      <c r="OFZ2" s="107"/>
      <c r="OGA2" s="107"/>
      <c r="OGB2" s="107"/>
      <c r="OGC2" s="107"/>
      <c r="OGD2" s="107"/>
      <c r="OGE2" s="107"/>
      <c r="OGF2" s="107"/>
      <c r="OGG2" s="107"/>
      <c r="OGH2" s="107"/>
      <c r="OGI2" s="107"/>
      <c r="OGJ2" s="107"/>
      <c r="OGK2" s="107"/>
      <c r="OGL2" s="107"/>
      <c r="OGM2" s="107"/>
      <c r="OGN2" s="107"/>
      <c r="OGO2" s="107"/>
      <c r="OGP2" s="107"/>
      <c r="OGQ2" s="107"/>
      <c r="OGR2" s="107"/>
      <c r="OGS2" s="107"/>
      <c r="OGT2" s="107"/>
      <c r="OGU2" s="107"/>
      <c r="OGV2" s="107"/>
      <c r="OGW2" s="107"/>
      <c r="OGX2" s="107"/>
      <c r="OGY2" s="107"/>
      <c r="OGZ2" s="107"/>
      <c r="OHA2" s="107"/>
      <c r="OHB2" s="107"/>
      <c r="OHC2" s="107"/>
      <c r="OHD2" s="107"/>
      <c r="OHE2" s="107"/>
      <c r="OHF2" s="107"/>
      <c r="OHG2" s="107"/>
      <c r="OHH2" s="107"/>
      <c r="OHI2" s="107"/>
      <c r="OHJ2" s="107"/>
      <c r="OHK2" s="107"/>
      <c r="OHL2" s="107"/>
      <c r="OHM2" s="107"/>
      <c r="OHN2" s="107"/>
      <c r="OHO2" s="107"/>
      <c r="OHP2" s="107"/>
      <c r="OHQ2" s="107"/>
      <c r="OHR2" s="107"/>
      <c r="OHS2" s="107"/>
      <c r="OHT2" s="107"/>
      <c r="OHU2" s="107"/>
      <c r="OHV2" s="107"/>
      <c r="OHW2" s="107"/>
      <c r="OHX2" s="107"/>
      <c r="OHY2" s="107"/>
      <c r="OHZ2" s="107"/>
      <c r="OIA2" s="107"/>
      <c r="OIB2" s="107"/>
      <c r="OIC2" s="107"/>
      <c r="OID2" s="107"/>
      <c r="OIE2" s="107"/>
      <c r="OIF2" s="107"/>
      <c r="OIG2" s="107"/>
      <c r="OIH2" s="107"/>
      <c r="OII2" s="107"/>
      <c r="OIJ2" s="107"/>
      <c r="OIK2" s="107"/>
      <c r="OIL2" s="107"/>
      <c r="OIM2" s="107"/>
      <c r="OIN2" s="107"/>
      <c r="OIO2" s="107"/>
      <c r="OIP2" s="107"/>
      <c r="OIQ2" s="107"/>
      <c r="OIR2" s="107"/>
      <c r="OIS2" s="107"/>
      <c r="OIT2" s="107"/>
      <c r="OIU2" s="107"/>
      <c r="OIV2" s="107"/>
      <c r="OIW2" s="107"/>
      <c r="OIX2" s="107"/>
      <c r="OIY2" s="107"/>
      <c r="OIZ2" s="107"/>
      <c r="OJA2" s="107"/>
      <c r="OJB2" s="107"/>
      <c r="OJC2" s="107"/>
      <c r="OJD2" s="107"/>
      <c r="OJE2" s="107"/>
      <c r="OJF2" s="107"/>
      <c r="OJG2" s="107"/>
      <c r="OJH2" s="107"/>
      <c r="OJI2" s="107"/>
      <c r="OJJ2" s="107"/>
      <c r="OJK2" s="107"/>
      <c r="OJL2" s="107"/>
      <c r="OJM2" s="107"/>
      <c r="OJN2" s="107"/>
      <c r="OJO2" s="107"/>
      <c r="OJP2" s="107"/>
      <c r="OJQ2" s="107"/>
      <c r="OJR2" s="107"/>
      <c r="OJS2" s="107"/>
      <c r="OJT2" s="107"/>
      <c r="OJU2" s="107"/>
      <c r="OJV2" s="107"/>
      <c r="OJW2" s="107"/>
      <c r="OJX2" s="107"/>
      <c r="OJY2" s="107"/>
      <c r="OJZ2" s="107"/>
      <c r="OKA2" s="107"/>
      <c r="OKB2" s="107"/>
      <c r="OKC2" s="107"/>
      <c r="OKD2" s="107"/>
      <c r="OKE2" s="107"/>
      <c r="OKF2" s="107"/>
      <c r="OKG2" s="107"/>
      <c r="OKH2" s="107"/>
      <c r="OKI2" s="107"/>
      <c r="OKJ2" s="107"/>
      <c r="OKK2" s="107"/>
      <c r="OKL2" s="107"/>
      <c r="OKM2" s="107"/>
      <c r="OKN2" s="107"/>
      <c r="OKO2" s="107"/>
      <c r="OKP2" s="107"/>
      <c r="OKQ2" s="107"/>
      <c r="OKR2" s="107"/>
      <c r="OKS2" s="107"/>
      <c r="OKT2" s="107"/>
      <c r="OKU2" s="107"/>
      <c r="OKV2" s="107"/>
      <c r="OKW2" s="107"/>
      <c r="OKX2" s="107"/>
      <c r="OKY2" s="107"/>
      <c r="OKZ2" s="107"/>
      <c r="OLA2" s="107"/>
      <c r="OLB2" s="107"/>
      <c r="OLC2" s="107"/>
      <c r="OLD2" s="107"/>
      <c r="OLE2" s="107"/>
      <c r="OLF2" s="107"/>
      <c r="OLG2" s="107"/>
      <c r="OLH2" s="107"/>
      <c r="OLI2" s="107"/>
      <c r="OLJ2" s="107"/>
      <c r="OLK2" s="107"/>
      <c r="OLL2" s="107"/>
      <c r="OLM2" s="107"/>
      <c r="OLN2" s="107"/>
      <c r="OLO2" s="107"/>
      <c r="OLP2" s="107"/>
      <c r="OLQ2" s="107"/>
      <c r="OLR2" s="107"/>
      <c r="OLS2" s="107"/>
      <c r="OLT2" s="107"/>
      <c r="OLU2" s="107"/>
      <c r="OLV2" s="107"/>
      <c r="OLW2" s="107"/>
      <c r="OLX2" s="107"/>
      <c r="OLY2" s="107"/>
      <c r="OLZ2" s="107"/>
      <c r="OMA2" s="107"/>
      <c r="OMB2" s="107"/>
      <c r="OMC2" s="107"/>
      <c r="OMD2" s="107"/>
      <c r="OME2" s="107"/>
      <c r="OMF2" s="107"/>
      <c r="OMG2" s="107"/>
      <c r="OMH2" s="107"/>
      <c r="OMI2" s="107"/>
      <c r="OMJ2" s="107"/>
      <c r="OMK2" s="107"/>
      <c r="OML2" s="107"/>
      <c r="OMM2" s="107"/>
      <c r="OMN2" s="107"/>
      <c r="OMO2" s="107"/>
      <c r="OMP2" s="107"/>
      <c r="OMQ2" s="107"/>
      <c r="OMR2" s="107"/>
      <c r="OMS2" s="107"/>
      <c r="OMT2" s="107"/>
      <c r="OMU2" s="107"/>
      <c r="OMV2" s="107"/>
      <c r="OMW2" s="107"/>
      <c r="OMX2" s="107"/>
      <c r="OMY2" s="107"/>
      <c r="OMZ2" s="107"/>
      <c r="ONA2" s="107"/>
      <c r="ONB2" s="107"/>
      <c r="ONC2" s="107"/>
      <c r="OND2" s="107"/>
      <c r="ONE2" s="107"/>
      <c r="ONF2" s="107"/>
      <c r="ONG2" s="107"/>
      <c r="ONH2" s="107"/>
      <c r="ONI2" s="107"/>
      <c r="ONJ2" s="107"/>
      <c r="ONK2" s="107"/>
      <c r="ONL2" s="107"/>
      <c r="ONM2" s="107"/>
      <c r="ONN2" s="107"/>
      <c r="ONO2" s="107"/>
      <c r="ONP2" s="107"/>
      <c r="ONQ2" s="107"/>
      <c r="ONR2" s="107"/>
      <c r="ONS2" s="107"/>
      <c r="ONT2" s="107"/>
      <c r="ONU2" s="107"/>
      <c r="ONV2" s="107"/>
      <c r="ONW2" s="107"/>
      <c r="ONX2" s="107"/>
      <c r="ONY2" s="107"/>
      <c r="ONZ2" s="107"/>
      <c r="OOA2" s="107"/>
      <c r="OOB2" s="107"/>
      <c r="OOC2" s="107"/>
      <c r="OOD2" s="107"/>
      <c r="OOE2" s="107"/>
      <c r="OOF2" s="107"/>
      <c r="OOG2" s="107"/>
      <c r="OOH2" s="107"/>
      <c r="OOI2" s="107"/>
      <c r="OOJ2" s="107"/>
      <c r="OOK2" s="107"/>
      <c r="OOL2" s="107"/>
      <c r="OOM2" s="107"/>
      <c r="OON2" s="107"/>
      <c r="OOO2" s="107"/>
      <c r="OOP2" s="107"/>
      <c r="OOQ2" s="107"/>
      <c r="OOR2" s="107"/>
      <c r="OOS2" s="107"/>
      <c r="OOT2" s="107"/>
      <c r="OOU2" s="107"/>
      <c r="OOV2" s="107"/>
      <c r="OOW2" s="107"/>
      <c r="OOX2" s="107"/>
      <c r="OOY2" s="107"/>
      <c r="OOZ2" s="107"/>
      <c r="OPA2" s="107"/>
      <c r="OPB2" s="107"/>
      <c r="OPC2" s="107"/>
      <c r="OPD2" s="107"/>
      <c r="OPE2" s="107"/>
      <c r="OPF2" s="107"/>
      <c r="OPG2" s="107"/>
      <c r="OPH2" s="107"/>
      <c r="OPI2" s="107"/>
      <c r="OPJ2" s="107"/>
      <c r="OPK2" s="107"/>
      <c r="OPL2" s="107"/>
      <c r="OPM2" s="107"/>
      <c r="OPN2" s="107"/>
      <c r="OPO2" s="107"/>
      <c r="OPP2" s="107"/>
      <c r="OPQ2" s="107"/>
      <c r="OPR2" s="107"/>
      <c r="OPS2" s="107"/>
      <c r="OPT2" s="107"/>
      <c r="OPU2" s="107"/>
      <c r="OPV2" s="107"/>
      <c r="OPW2" s="107"/>
      <c r="OPX2" s="107"/>
      <c r="OPY2" s="107"/>
      <c r="OPZ2" s="107"/>
      <c r="OQA2" s="107"/>
      <c r="OQB2" s="107"/>
      <c r="OQC2" s="107"/>
      <c r="OQD2" s="107"/>
      <c r="OQE2" s="107"/>
      <c r="OQF2" s="107"/>
      <c r="OQG2" s="107"/>
      <c r="OQH2" s="107"/>
      <c r="OQI2" s="107"/>
      <c r="OQJ2" s="107"/>
      <c r="OQK2" s="107"/>
      <c r="OQL2" s="107"/>
      <c r="OQM2" s="107"/>
      <c r="OQN2" s="107"/>
      <c r="OQO2" s="107"/>
      <c r="OQP2" s="107"/>
      <c r="OQQ2" s="107"/>
      <c r="OQR2" s="107"/>
      <c r="OQS2" s="107"/>
      <c r="OQT2" s="107"/>
      <c r="OQU2" s="107"/>
      <c r="OQV2" s="107"/>
      <c r="OQW2" s="107"/>
      <c r="OQX2" s="107"/>
      <c r="OQY2" s="107"/>
      <c r="OQZ2" s="107"/>
      <c r="ORA2" s="107"/>
      <c r="ORB2" s="107"/>
      <c r="ORC2" s="107"/>
      <c r="ORD2" s="107"/>
      <c r="ORE2" s="107"/>
      <c r="ORF2" s="107"/>
      <c r="ORG2" s="107"/>
      <c r="ORH2" s="107"/>
      <c r="ORI2" s="107"/>
      <c r="ORJ2" s="107"/>
      <c r="ORK2" s="107"/>
      <c r="ORL2" s="107"/>
      <c r="ORM2" s="107"/>
      <c r="ORN2" s="107"/>
      <c r="ORO2" s="107"/>
      <c r="ORP2" s="107"/>
      <c r="ORQ2" s="107"/>
      <c r="ORR2" s="107"/>
      <c r="ORS2" s="107"/>
      <c r="ORT2" s="107"/>
      <c r="ORU2" s="107"/>
      <c r="ORV2" s="107"/>
      <c r="ORW2" s="107"/>
      <c r="ORX2" s="107"/>
      <c r="ORY2" s="107"/>
      <c r="ORZ2" s="107"/>
      <c r="OSA2" s="107"/>
      <c r="OSB2" s="107"/>
      <c r="OSC2" s="107"/>
      <c r="OSD2" s="107"/>
      <c r="OSE2" s="107"/>
      <c r="OSF2" s="107"/>
      <c r="OSG2" s="107"/>
      <c r="OSH2" s="107"/>
      <c r="OSI2" s="107"/>
      <c r="OSJ2" s="107"/>
      <c r="OSK2" s="107"/>
      <c r="OSL2" s="107"/>
      <c r="OSM2" s="107"/>
      <c r="OSN2" s="107"/>
      <c r="OSO2" s="107"/>
      <c r="OSP2" s="107"/>
      <c r="OSQ2" s="107"/>
      <c r="OSR2" s="107"/>
      <c r="OSS2" s="107"/>
      <c r="OST2" s="107"/>
      <c r="OSU2" s="107"/>
      <c r="OSV2" s="107"/>
      <c r="OSW2" s="107"/>
      <c r="OSX2" s="107"/>
      <c r="OSY2" s="107"/>
      <c r="OSZ2" s="107"/>
      <c r="OTA2" s="107"/>
      <c r="OTB2" s="107"/>
      <c r="OTC2" s="107"/>
      <c r="OTD2" s="107"/>
      <c r="OTE2" s="107"/>
      <c r="OTF2" s="107"/>
      <c r="OTG2" s="107"/>
      <c r="OTH2" s="107"/>
      <c r="OTI2" s="107"/>
      <c r="OTJ2" s="107"/>
      <c r="OTK2" s="107"/>
      <c r="OTL2" s="107"/>
      <c r="OTM2" s="107"/>
      <c r="OTN2" s="107"/>
      <c r="OTO2" s="107"/>
      <c r="OTP2" s="107"/>
      <c r="OTQ2" s="107"/>
      <c r="OTR2" s="107"/>
      <c r="OTS2" s="107"/>
      <c r="OTT2" s="107"/>
      <c r="OTU2" s="107"/>
      <c r="OTV2" s="107"/>
      <c r="OTW2" s="107"/>
      <c r="OTX2" s="107"/>
      <c r="OTY2" s="107"/>
      <c r="OTZ2" s="107"/>
      <c r="OUA2" s="107"/>
      <c r="OUB2" s="107"/>
      <c r="OUC2" s="107"/>
      <c r="OUD2" s="107"/>
      <c r="OUE2" s="107"/>
      <c r="OUF2" s="107"/>
      <c r="OUG2" s="107"/>
      <c r="OUH2" s="107"/>
      <c r="OUI2" s="107"/>
      <c r="OUJ2" s="107"/>
      <c r="OUK2" s="107"/>
      <c r="OUL2" s="107"/>
      <c r="OUM2" s="107"/>
      <c r="OUN2" s="107"/>
      <c r="OUO2" s="107"/>
      <c r="OUP2" s="107"/>
      <c r="OUQ2" s="107"/>
      <c r="OUR2" s="107"/>
      <c r="OUS2" s="107"/>
      <c r="OUT2" s="107"/>
      <c r="OUU2" s="107"/>
      <c r="OUV2" s="107"/>
      <c r="OUW2" s="107"/>
      <c r="OUX2" s="107"/>
      <c r="OUY2" s="107"/>
      <c r="OUZ2" s="107"/>
      <c r="OVA2" s="107"/>
      <c r="OVB2" s="107"/>
      <c r="OVC2" s="107"/>
      <c r="OVD2" s="107"/>
      <c r="OVE2" s="107"/>
      <c r="OVF2" s="107"/>
      <c r="OVG2" s="107"/>
      <c r="OVH2" s="107"/>
      <c r="OVI2" s="107"/>
      <c r="OVJ2" s="107"/>
      <c r="OVK2" s="107"/>
      <c r="OVL2" s="107"/>
      <c r="OVM2" s="107"/>
      <c r="OVN2" s="107"/>
      <c r="OVO2" s="107"/>
      <c r="OVP2" s="107"/>
      <c r="OVQ2" s="107"/>
      <c r="OVR2" s="107"/>
      <c r="OVS2" s="107"/>
      <c r="OVT2" s="107"/>
      <c r="OVU2" s="107"/>
      <c r="OVV2" s="107"/>
      <c r="OVW2" s="107"/>
      <c r="OVX2" s="107"/>
      <c r="OVY2" s="107"/>
      <c r="OVZ2" s="107"/>
      <c r="OWA2" s="107"/>
      <c r="OWB2" s="107"/>
      <c r="OWC2" s="107"/>
      <c r="OWD2" s="107"/>
      <c r="OWE2" s="107"/>
      <c r="OWF2" s="107"/>
      <c r="OWG2" s="107"/>
      <c r="OWH2" s="107"/>
      <c r="OWI2" s="107"/>
      <c r="OWJ2" s="107"/>
      <c r="OWK2" s="107"/>
      <c r="OWL2" s="107"/>
      <c r="OWM2" s="107"/>
      <c r="OWN2" s="107"/>
      <c r="OWO2" s="107"/>
      <c r="OWP2" s="107"/>
      <c r="OWQ2" s="107"/>
      <c r="OWR2" s="107"/>
      <c r="OWS2" s="107"/>
      <c r="OWT2" s="107"/>
      <c r="OWU2" s="107"/>
      <c r="OWV2" s="107"/>
      <c r="OWW2" s="107"/>
      <c r="OWX2" s="107"/>
      <c r="OWY2" s="107"/>
      <c r="OWZ2" s="107"/>
      <c r="OXA2" s="107"/>
      <c r="OXB2" s="107"/>
      <c r="OXC2" s="107"/>
      <c r="OXD2" s="107"/>
      <c r="OXE2" s="107"/>
      <c r="OXF2" s="107"/>
      <c r="OXG2" s="107"/>
      <c r="OXH2" s="107"/>
      <c r="OXI2" s="107"/>
      <c r="OXJ2" s="107"/>
      <c r="OXK2" s="107"/>
      <c r="OXL2" s="107"/>
      <c r="OXM2" s="107"/>
      <c r="OXN2" s="107"/>
      <c r="OXO2" s="107"/>
      <c r="OXP2" s="107"/>
      <c r="OXQ2" s="107"/>
      <c r="OXR2" s="107"/>
      <c r="OXS2" s="107"/>
      <c r="OXT2" s="107"/>
      <c r="OXU2" s="107"/>
      <c r="OXV2" s="107"/>
      <c r="OXW2" s="107"/>
      <c r="OXX2" s="107"/>
      <c r="OXY2" s="107"/>
      <c r="OXZ2" s="107"/>
      <c r="OYA2" s="107"/>
      <c r="OYB2" s="107"/>
      <c r="OYC2" s="107"/>
      <c r="OYD2" s="107"/>
      <c r="OYE2" s="107"/>
      <c r="OYF2" s="107"/>
      <c r="OYG2" s="107"/>
      <c r="OYH2" s="107"/>
      <c r="OYI2" s="107"/>
      <c r="OYJ2" s="107"/>
      <c r="OYK2" s="107"/>
      <c r="OYL2" s="107"/>
      <c r="OYM2" s="107"/>
      <c r="OYN2" s="107"/>
      <c r="OYO2" s="107"/>
      <c r="OYP2" s="107"/>
      <c r="OYQ2" s="107"/>
      <c r="OYR2" s="107"/>
      <c r="OYS2" s="107"/>
      <c r="OYT2" s="107"/>
      <c r="OYU2" s="107"/>
      <c r="OYV2" s="107"/>
      <c r="OYW2" s="107"/>
      <c r="OYX2" s="107"/>
      <c r="OYY2" s="107"/>
      <c r="OYZ2" s="107"/>
      <c r="OZA2" s="107"/>
      <c r="OZB2" s="107"/>
      <c r="OZC2" s="107"/>
      <c r="OZD2" s="107"/>
      <c r="OZE2" s="107"/>
      <c r="OZF2" s="107"/>
      <c r="OZG2" s="107"/>
      <c r="OZH2" s="107"/>
      <c r="OZI2" s="107"/>
      <c r="OZJ2" s="107"/>
      <c r="OZK2" s="107"/>
      <c r="OZL2" s="107"/>
      <c r="OZM2" s="107"/>
      <c r="OZN2" s="107"/>
      <c r="OZO2" s="107"/>
      <c r="OZP2" s="107"/>
      <c r="OZQ2" s="107"/>
      <c r="OZR2" s="107"/>
      <c r="OZS2" s="107"/>
      <c r="OZT2" s="107"/>
      <c r="OZU2" s="107"/>
      <c r="OZV2" s="107"/>
      <c r="OZW2" s="107"/>
      <c r="OZX2" s="107"/>
      <c r="OZY2" s="107"/>
      <c r="OZZ2" s="107"/>
      <c r="PAA2" s="107"/>
      <c r="PAB2" s="107"/>
      <c r="PAC2" s="107"/>
      <c r="PAD2" s="107"/>
      <c r="PAE2" s="107"/>
      <c r="PAF2" s="107"/>
      <c r="PAG2" s="107"/>
      <c r="PAH2" s="107"/>
      <c r="PAI2" s="107"/>
      <c r="PAJ2" s="107"/>
      <c r="PAK2" s="107"/>
      <c r="PAL2" s="107"/>
      <c r="PAM2" s="107"/>
      <c r="PAN2" s="107"/>
      <c r="PAO2" s="107"/>
      <c r="PAP2" s="107"/>
      <c r="PAQ2" s="107"/>
      <c r="PAR2" s="107"/>
      <c r="PAS2" s="107"/>
      <c r="PAT2" s="107"/>
      <c r="PAU2" s="107"/>
      <c r="PAV2" s="107"/>
      <c r="PAW2" s="107"/>
      <c r="PAX2" s="107"/>
      <c r="PAY2" s="107"/>
      <c r="PAZ2" s="107"/>
      <c r="PBA2" s="107"/>
      <c r="PBB2" s="107"/>
      <c r="PBC2" s="107"/>
      <c r="PBD2" s="107"/>
      <c r="PBE2" s="107"/>
      <c r="PBF2" s="107"/>
      <c r="PBG2" s="107"/>
      <c r="PBH2" s="107"/>
      <c r="PBI2" s="107"/>
      <c r="PBJ2" s="107"/>
      <c r="PBK2" s="107"/>
      <c r="PBL2" s="107"/>
      <c r="PBM2" s="107"/>
      <c r="PBN2" s="107"/>
      <c r="PBO2" s="107"/>
      <c r="PBP2" s="107"/>
      <c r="PBQ2" s="107"/>
      <c r="PBR2" s="107"/>
      <c r="PBS2" s="107"/>
      <c r="PBT2" s="107"/>
      <c r="PBU2" s="107"/>
      <c r="PBV2" s="107"/>
      <c r="PBW2" s="107"/>
      <c r="PBX2" s="107"/>
      <c r="PBY2" s="107"/>
      <c r="PBZ2" s="107"/>
      <c r="PCA2" s="107"/>
      <c r="PCB2" s="107"/>
      <c r="PCC2" s="107"/>
      <c r="PCD2" s="107"/>
      <c r="PCE2" s="107"/>
      <c r="PCF2" s="107"/>
      <c r="PCG2" s="107"/>
      <c r="PCH2" s="107"/>
      <c r="PCI2" s="107"/>
      <c r="PCJ2" s="107"/>
      <c r="PCK2" s="107"/>
      <c r="PCL2" s="107"/>
      <c r="PCM2" s="107"/>
      <c r="PCN2" s="107"/>
      <c r="PCO2" s="107"/>
      <c r="PCP2" s="107"/>
      <c r="PCQ2" s="107"/>
      <c r="PCR2" s="107"/>
      <c r="PCS2" s="107"/>
      <c r="PCT2" s="107"/>
      <c r="PCU2" s="107"/>
      <c r="PCV2" s="107"/>
      <c r="PCW2" s="107"/>
      <c r="PCX2" s="107"/>
      <c r="PCY2" s="107"/>
      <c r="PCZ2" s="107"/>
      <c r="PDA2" s="107"/>
      <c r="PDB2" s="107"/>
      <c r="PDC2" s="107"/>
      <c r="PDD2" s="107"/>
      <c r="PDE2" s="107"/>
      <c r="PDF2" s="107"/>
      <c r="PDG2" s="107"/>
      <c r="PDH2" s="107"/>
      <c r="PDI2" s="107"/>
      <c r="PDJ2" s="107"/>
      <c r="PDK2" s="107"/>
      <c r="PDL2" s="107"/>
      <c r="PDM2" s="107"/>
      <c r="PDN2" s="107"/>
      <c r="PDO2" s="107"/>
      <c r="PDP2" s="107"/>
      <c r="PDQ2" s="107"/>
      <c r="PDR2" s="107"/>
      <c r="PDS2" s="107"/>
      <c r="PDT2" s="107"/>
      <c r="PDU2" s="107"/>
      <c r="PDV2" s="107"/>
      <c r="PDW2" s="107"/>
      <c r="PDX2" s="107"/>
      <c r="PDY2" s="107"/>
      <c r="PDZ2" s="107"/>
      <c r="PEA2" s="107"/>
      <c r="PEB2" s="107"/>
      <c r="PEC2" s="107"/>
      <c r="PED2" s="107"/>
      <c r="PEE2" s="107"/>
      <c r="PEF2" s="107"/>
      <c r="PEG2" s="107"/>
      <c r="PEH2" s="107"/>
      <c r="PEI2" s="107"/>
      <c r="PEJ2" s="107"/>
      <c r="PEK2" s="107"/>
      <c r="PEL2" s="107"/>
      <c r="PEM2" s="107"/>
      <c r="PEN2" s="107"/>
      <c r="PEO2" s="107"/>
      <c r="PEP2" s="107"/>
      <c r="PEQ2" s="107"/>
      <c r="PER2" s="107"/>
      <c r="PES2" s="107"/>
      <c r="PET2" s="107"/>
      <c r="PEU2" s="107"/>
      <c r="PEV2" s="107"/>
      <c r="PEW2" s="107"/>
      <c r="PEX2" s="107"/>
      <c r="PEY2" s="107"/>
      <c r="PEZ2" s="107"/>
      <c r="PFA2" s="107"/>
      <c r="PFB2" s="107"/>
      <c r="PFC2" s="107"/>
      <c r="PFD2" s="107"/>
      <c r="PFE2" s="107"/>
      <c r="PFF2" s="107"/>
      <c r="PFG2" s="107"/>
      <c r="PFH2" s="107"/>
      <c r="PFI2" s="107"/>
      <c r="PFJ2" s="107"/>
      <c r="PFK2" s="107"/>
      <c r="PFL2" s="107"/>
      <c r="PFM2" s="107"/>
      <c r="PFN2" s="107"/>
      <c r="PFO2" s="107"/>
      <c r="PFP2" s="107"/>
      <c r="PFQ2" s="107"/>
      <c r="PFR2" s="107"/>
      <c r="PFS2" s="107"/>
      <c r="PFT2" s="107"/>
      <c r="PFU2" s="107"/>
      <c r="PFV2" s="107"/>
      <c r="PFW2" s="107"/>
      <c r="PFX2" s="107"/>
      <c r="PFY2" s="107"/>
      <c r="PFZ2" s="107"/>
      <c r="PGA2" s="107"/>
      <c r="PGB2" s="107"/>
      <c r="PGC2" s="107"/>
      <c r="PGD2" s="107"/>
      <c r="PGE2" s="107"/>
      <c r="PGF2" s="107"/>
      <c r="PGG2" s="107"/>
      <c r="PGH2" s="107"/>
      <c r="PGI2" s="107"/>
      <c r="PGJ2" s="107"/>
      <c r="PGK2" s="107"/>
      <c r="PGL2" s="107"/>
      <c r="PGM2" s="107"/>
      <c r="PGN2" s="107"/>
      <c r="PGO2" s="107"/>
      <c r="PGP2" s="107"/>
      <c r="PGQ2" s="107"/>
      <c r="PGR2" s="107"/>
      <c r="PGS2" s="107"/>
      <c r="PGT2" s="107"/>
      <c r="PGU2" s="107"/>
      <c r="PGV2" s="107"/>
      <c r="PGW2" s="107"/>
      <c r="PGX2" s="107"/>
      <c r="PGY2" s="107"/>
      <c r="PGZ2" s="107"/>
      <c r="PHA2" s="107"/>
      <c r="PHB2" s="107"/>
      <c r="PHC2" s="107"/>
      <c r="PHD2" s="107"/>
      <c r="PHE2" s="107"/>
      <c r="PHF2" s="107"/>
      <c r="PHG2" s="107"/>
      <c r="PHH2" s="107"/>
      <c r="PHI2" s="107"/>
      <c r="PHJ2" s="107"/>
      <c r="PHK2" s="107"/>
      <c r="PHL2" s="107"/>
      <c r="PHM2" s="107"/>
      <c r="PHN2" s="107"/>
      <c r="PHO2" s="107"/>
      <c r="PHP2" s="107"/>
      <c r="PHQ2" s="107"/>
      <c r="PHR2" s="107"/>
      <c r="PHS2" s="107"/>
      <c r="PHT2" s="107"/>
      <c r="PHU2" s="107"/>
      <c r="PHV2" s="107"/>
      <c r="PHW2" s="107"/>
      <c r="PHX2" s="107"/>
      <c r="PHY2" s="107"/>
      <c r="PHZ2" s="107"/>
      <c r="PIA2" s="107"/>
      <c r="PIB2" s="107"/>
      <c r="PIC2" s="107"/>
      <c r="PID2" s="107"/>
      <c r="PIE2" s="107"/>
      <c r="PIF2" s="107"/>
      <c r="PIG2" s="107"/>
      <c r="PIH2" s="107"/>
      <c r="PII2" s="107"/>
      <c r="PIJ2" s="107"/>
      <c r="PIK2" s="107"/>
      <c r="PIL2" s="107"/>
      <c r="PIM2" s="107"/>
      <c r="PIN2" s="107"/>
      <c r="PIO2" s="107"/>
      <c r="PIP2" s="107"/>
      <c r="PIQ2" s="107"/>
      <c r="PIR2" s="107"/>
      <c r="PIS2" s="107"/>
      <c r="PIT2" s="107"/>
      <c r="PIU2" s="107"/>
      <c r="PIV2" s="107"/>
      <c r="PIW2" s="107"/>
      <c r="PIX2" s="107"/>
      <c r="PIY2" s="107"/>
      <c r="PIZ2" s="107"/>
      <c r="PJA2" s="107"/>
      <c r="PJB2" s="107"/>
      <c r="PJC2" s="107"/>
      <c r="PJD2" s="107"/>
      <c r="PJE2" s="107"/>
      <c r="PJF2" s="107"/>
      <c r="PJG2" s="107"/>
      <c r="PJH2" s="107"/>
      <c r="PJI2" s="107"/>
      <c r="PJJ2" s="107"/>
      <c r="PJK2" s="107"/>
      <c r="PJL2" s="107"/>
      <c r="PJM2" s="107"/>
      <c r="PJN2" s="107"/>
      <c r="PJO2" s="107"/>
      <c r="PJP2" s="107"/>
      <c r="PJQ2" s="107"/>
      <c r="PJR2" s="107"/>
      <c r="PJS2" s="107"/>
      <c r="PJT2" s="107"/>
      <c r="PJU2" s="107"/>
      <c r="PJV2" s="107"/>
      <c r="PJW2" s="107"/>
      <c r="PJX2" s="107"/>
      <c r="PJY2" s="107"/>
      <c r="PJZ2" s="107"/>
      <c r="PKA2" s="107"/>
      <c r="PKB2" s="107"/>
      <c r="PKC2" s="107"/>
      <c r="PKD2" s="107"/>
      <c r="PKE2" s="107"/>
      <c r="PKF2" s="107"/>
      <c r="PKG2" s="107"/>
      <c r="PKH2" s="107"/>
      <c r="PKI2" s="107"/>
      <c r="PKJ2" s="107"/>
      <c r="PKK2" s="107"/>
      <c r="PKL2" s="107"/>
      <c r="PKM2" s="107"/>
      <c r="PKN2" s="107"/>
      <c r="PKO2" s="107"/>
      <c r="PKP2" s="107"/>
      <c r="PKQ2" s="107"/>
      <c r="PKR2" s="107"/>
      <c r="PKS2" s="107"/>
      <c r="PKT2" s="107"/>
      <c r="PKU2" s="107"/>
      <c r="PKV2" s="107"/>
      <c r="PKW2" s="107"/>
      <c r="PKX2" s="107"/>
      <c r="PKY2" s="107"/>
      <c r="PKZ2" s="107"/>
      <c r="PLA2" s="107"/>
      <c r="PLB2" s="107"/>
      <c r="PLC2" s="107"/>
      <c r="PLD2" s="107"/>
      <c r="PLE2" s="107"/>
      <c r="PLF2" s="107"/>
      <c r="PLG2" s="107"/>
      <c r="PLH2" s="107"/>
      <c r="PLI2" s="107"/>
      <c r="PLJ2" s="107"/>
      <c r="PLK2" s="107"/>
      <c r="PLL2" s="107"/>
      <c r="PLM2" s="107"/>
      <c r="PLN2" s="107"/>
      <c r="PLO2" s="107"/>
      <c r="PLP2" s="107"/>
      <c r="PLQ2" s="107"/>
      <c r="PLR2" s="107"/>
      <c r="PLS2" s="107"/>
      <c r="PLT2" s="107"/>
      <c r="PLU2" s="107"/>
      <c r="PLV2" s="107"/>
      <c r="PLW2" s="107"/>
      <c r="PLX2" s="107"/>
      <c r="PLY2" s="107"/>
      <c r="PLZ2" s="107"/>
      <c r="PMA2" s="107"/>
      <c r="PMB2" s="107"/>
      <c r="PMC2" s="107"/>
      <c r="PMD2" s="107"/>
      <c r="PME2" s="107"/>
      <c r="PMF2" s="107"/>
      <c r="PMG2" s="107"/>
      <c r="PMH2" s="107"/>
      <c r="PMI2" s="107"/>
      <c r="PMJ2" s="107"/>
      <c r="PMK2" s="107"/>
      <c r="PML2" s="107"/>
      <c r="PMM2" s="107"/>
      <c r="PMN2" s="107"/>
      <c r="PMO2" s="107"/>
      <c r="PMP2" s="107"/>
      <c r="PMQ2" s="107"/>
      <c r="PMR2" s="107"/>
      <c r="PMS2" s="107"/>
      <c r="PMT2" s="107"/>
      <c r="PMU2" s="107"/>
      <c r="PMV2" s="107"/>
      <c r="PMW2" s="107"/>
      <c r="PMX2" s="107"/>
      <c r="PMY2" s="107"/>
      <c r="PMZ2" s="107"/>
      <c r="PNA2" s="107"/>
      <c r="PNB2" s="107"/>
      <c r="PNC2" s="107"/>
      <c r="PND2" s="107"/>
      <c r="PNE2" s="107"/>
      <c r="PNF2" s="107"/>
      <c r="PNG2" s="107"/>
      <c r="PNH2" s="107"/>
      <c r="PNI2" s="107"/>
      <c r="PNJ2" s="107"/>
      <c r="PNK2" s="107"/>
      <c r="PNL2" s="107"/>
      <c r="PNM2" s="107"/>
      <c r="PNN2" s="107"/>
      <c r="PNO2" s="107"/>
      <c r="PNP2" s="107"/>
      <c r="PNQ2" s="107"/>
      <c r="PNR2" s="107"/>
      <c r="PNS2" s="107"/>
      <c r="PNT2" s="107"/>
      <c r="PNU2" s="107"/>
      <c r="PNV2" s="107"/>
      <c r="PNW2" s="107"/>
      <c r="PNX2" s="107"/>
      <c r="PNY2" s="107"/>
      <c r="PNZ2" s="107"/>
      <c r="POA2" s="107"/>
      <c r="POB2" s="107"/>
      <c r="POC2" s="107"/>
      <c r="POD2" s="107"/>
      <c r="POE2" s="107"/>
      <c r="POF2" s="107"/>
      <c r="POG2" s="107"/>
      <c r="POH2" s="107"/>
      <c r="POI2" s="107"/>
      <c r="POJ2" s="107"/>
      <c r="POK2" s="107"/>
      <c r="POL2" s="107"/>
      <c r="POM2" s="107"/>
      <c r="PON2" s="107"/>
      <c r="POO2" s="107"/>
      <c r="POP2" s="107"/>
      <c r="POQ2" s="107"/>
      <c r="POR2" s="107"/>
      <c r="POS2" s="107"/>
      <c r="POT2" s="107"/>
      <c r="POU2" s="107"/>
      <c r="POV2" s="107"/>
      <c r="POW2" s="107"/>
      <c r="POX2" s="107"/>
      <c r="POY2" s="107"/>
      <c r="POZ2" s="107"/>
      <c r="PPA2" s="107"/>
      <c r="PPB2" s="107"/>
      <c r="PPC2" s="107"/>
      <c r="PPD2" s="107"/>
      <c r="PPE2" s="107"/>
      <c r="PPF2" s="107"/>
      <c r="PPG2" s="107"/>
      <c r="PPH2" s="107"/>
      <c r="PPI2" s="107"/>
      <c r="PPJ2" s="107"/>
      <c r="PPK2" s="107"/>
      <c r="PPL2" s="107"/>
      <c r="PPM2" s="107"/>
      <c r="PPN2" s="107"/>
      <c r="PPO2" s="107"/>
      <c r="PPP2" s="107"/>
      <c r="PPQ2" s="107"/>
      <c r="PPR2" s="107"/>
      <c r="PPS2" s="107"/>
      <c r="PPT2" s="107"/>
      <c r="PPU2" s="107"/>
      <c r="PPV2" s="107"/>
      <c r="PPW2" s="107"/>
      <c r="PPX2" s="107"/>
      <c r="PPY2" s="107"/>
      <c r="PPZ2" s="107"/>
      <c r="PQA2" s="107"/>
      <c r="PQB2" s="107"/>
      <c r="PQC2" s="107"/>
      <c r="PQD2" s="107"/>
      <c r="PQE2" s="107"/>
      <c r="PQF2" s="107"/>
      <c r="PQG2" s="107"/>
      <c r="PQH2" s="107"/>
      <c r="PQI2" s="107"/>
      <c r="PQJ2" s="107"/>
      <c r="PQK2" s="107"/>
      <c r="PQL2" s="107"/>
      <c r="PQM2" s="107"/>
      <c r="PQN2" s="107"/>
      <c r="PQO2" s="107"/>
      <c r="PQP2" s="107"/>
      <c r="PQQ2" s="107"/>
      <c r="PQR2" s="107"/>
      <c r="PQS2" s="107"/>
      <c r="PQT2" s="107"/>
      <c r="PQU2" s="107"/>
      <c r="PQV2" s="107"/>
      <c r="PQW2" s="107"/>
      <c r="PQX2" s="107"/>
      <c r="PQY2" s="107"/>
      <c r="PQZ2" s="107"/>
      <c r="PRA2" s="107"/>
      <c r="PRB2" s="107"/>
      <c r="PRC2" s="107"/>
      <c r="PRD2" s="107"/>
      <c r="PRE2" s="107"/>
      <c r="PRF2" s="107"/>
      <c r="PRG2" s="107"/>
      <c r="PRH2" s="107"/>
      <c r="PRI2" s="107"/>
      <c r="PRJ2" s="107"/>
      <c r="PRK2" s="107"/>
      <c r="PRL2" s="107"/>
      <c r="PRM2" s="107"/>
      <c r="PRN2" s="107"/>
      <c r="PRO2" s="107"/>
      <c r="PRP2" s="107"/>
      <c r="PRQ2" s="107"/>
      <c r="PRR2" s="107"/>
      <c r="PRS2" s="107"/>
      <c r="PRT2" s="107"/>
      <c r="PRU2" s="107"/>
      <c r="PRV2" s="107"/>
      <c r="PRW2" s="107"/>
      <c r="PRX2" s="107"/>
      <c r="PRY2" s="107"/>
      <c r="PRZ2" s="107"/>
      <c r="PSA2" s="107"/>
      <c r="PSB2" s="107"/>
      <c r="PSC2" s="107"/>
      <c r="PSD2" s="107"/>
      <c r="PSE2" s="107"/>
      <c r="PSF2" s="107"/>
      <c r="PSG2" s="107"/>
      <c r="PSH2" s="107"/>
      <c r="PSI2" s="107"/>
      <c r="PSJ2" s="107"/>
      <c r="PSK2" s="107"/>
      <c r="PSL2" s="107"/>
      <c r="PSM2" s="107"/>
      <c r="PSN2" s="107"/>
      <c r="PSO2" s="107"/>
      <c r="PSP2" s="107"/>
      <c r="PSQ2" s="107"/>
      <c r="PSR2" s="107"/>
      <c r="PSS2" s="107"/>
      <c r="PST2" s="107"/>
      <c r="PSU2" s="107"/>
      <c r="PSV2" s="107"/>
      <c r="PSW2" s="107"/>
      <c r="PSX2" s="107"/>
      <c r="PSY2" s="107"/>
      <c r="PSZ2" s="107"/>
      <c r="PTA2" s="107"/>
      <c r="PTB2" s="107"/>
      <c r="PTC2" s="107"/>
      <c r="PTD2" s="107"/>
      <c r="PTE2" s="107"/>
      <c r="PTF2" s="107"/>
      <c r="PTG2" s="107"/>
      <c r="PTH2" s="107"/>
      <c r="PTI2" s="107"/>
      <c r="PTJ2" s="107"/>
      <c r="PTK2" s="107"/>
      <c r="PTL2" s="107"/>
      <c r="PTM2" s="107"/>
      <c r="PTN2" s="107"/>
      <c r="PTO2" s="107"/>
      <c r="PTP2" s="107"/>
      <c r="PTQ2" s="107"/>
      <c r="PTR2" s="107"/>
      <c r="PTS2" s="107"/>
      <c r="PTT2" s="107"/>
      <c r="PTU2" s="107"/>
      <c r="PTV2" s="107"/>
      <c r="PTW2" s="107"/>
      <c r="PTX2" s="107"/>
      <c r="PTY2" s="107"/>
      <c r="PTZ2" s="107"/>
      <c r="PUA2" s="107"/>
      <c r="PUB2" s="107"/>
      <c r="PUC2" s="107"/>
      <c r="PUD2" s="107"/>
      <c r="PUE2" s="107"/>
      <c r="PUF2" s="107"/>
      <c r="PUG2" s="107"/>
      <c r="PUH2" s="107"/>
      <c r="PUI2" s="107"/>
      <c r="PUJ2" s="107"/>
      <c r="PUK2" s="107"/>
      <c r="PUL2" s="107"/>
      <c r="PUM2" s="107"/>
      <c r="PUN2" s="107"/>
      <c r="PUO2" s="107"/>
      <c r="PUP2" s="107"/>
      <c r="PUQ2" s="107"/>
      <c r="PUR2" s="107"/>
      <c r="PUS2" s="107"/>
      <c r="PUT2" s="107"/>
      <c r="PUU2" s="107"/>
      <c r="PUV2" s="107"/>
      <c r="PUW2" s="107"/>
      <c r="PUX2" s="107"/>
      <c r="PUY2" s="107"/>
      <c r="PUZ2" s="107"/>
      <c r="PVA2" s="107"/>
      <c r="PVB2" s="107"/>
      <c r="PVC2" s="107"/>
      <c r="PVD2" s="107"/>
      <c r="PVE2" s="107"/>
      <c r="PVF2" s="107"/>
      <c r="PVG2" s="107"/>
      <c r="PVH2" s="107"/>
      <c r="PVI2" s="107"/>
      <c r="PVJ2" s="107"/>
      <c r="PVK2" s="107"/>
      <c r="PVL2" s="107"/>
      <c r="PVM2" s="107"/>
      <c r="PVN2" s="107"/>
      <c r="PVO2" s="107"/>
      <c r="PVP2" s="107"/>
      <c r="PVQ2" s="107"/>
      <c r="PVR2" s="107"/>
      <c r="PVS2" s="107"/>
      <c r="PVT2" s="107"/>
      <c r="PVU2" s="107"/>
      <c r="PVV2" s="107"/>
      <c r="PVW2" s="107"/>
      <c r="PVX2" s="107"/>
      <c r="PVY2" s="107"/>
      <c r="PVZ2" s="107"/>
      <c r="PWA2" s="107"/>
      <c r="PWB2" s="107"/>
      <c r="PWC2" s="107"/>
      <c r="PWD2" s="107"/>
      <c r="PWE2" s="107"/>
      <c r="PWF2" s="107"/>
      <c r="PWG2" s="107"/>
      <c r="PWH2" s="107"/>
      <c r="PWI2" s="107"/>
      <c r="PWJ2" s="107"/>
      <c r="PWK2" s="107"/>
      <c r="PWL2" s="107"/>
      <c r="PWM2" s="107"/>
      <c r="PWN2" s="107"/>
      <c r="PWO2" s="107"/>
      <c r="PWP2" s="107"/>
      <c r="PWQ2" s="107"/>
      <c r="PWR2" s="107"/>
      <c r="PWS2" s="107"/>
      <c r="PWT2" s="107"/>
      <c r="PWU2" s="107"/>
      <c r="PWV2" s="107"/>
      <c r="PWW2" s="107"/>
      <c r="PWX2" s="107"/>
      <c r="PWY2" s="107"/>
      <c r="PWZ2" s="107"/>
      <c r="PXA2" s="107"/>
      <c r="PXB2" s="107"/>
      <c r="PXC2" s="107"/>
      <c r="PXD2" s="107"/>
      <c r="PXE2" s="107"/>
      <c r="PXF2" s="107"/>
      <c r="PXG2" s="107"/>
      <c r="PXH2" s="107"/>
      <c r="PXI2" s="107"/>
      <c r="PXJ2" s="107"/>
      <c r="PXK2" s="107"/>
      <c r="PXL2" s="107"/>
      <c r="PXM2" s="107"/>
      <c r="PXN2" s="107"/>
      <c r="PXO2" s="107"/>
      <c r="PXP2" s="107"/>
      <c r="PXQ2" s="107"/>
      <c r="PXR2" s="107"/>
      <c r="PXS2" s="107"/>
      <c r="PXT2" s="107"/>
      <c r="PXU2" s="107"/>
      <c r="PXV2" s="107"/>
      <c r="PXW2" s="107"/>
      <c r="PXX2" s="107"/>
      <c r="PXY2" s="107"/>
      <c r="PXZ2" s="107"/>
      <c r="PYA2" s="107"/>
      <c r="PYB2" s="107"/>
      <c r="PYC2" s="107"/>
      <c r="PYD2" s="107"/>
      <c r="PYE2" s="107"/>
      <c r="PYF2" s="107"/>
      <c r="PYG2" s="107"/>
      <c r="PYH2" s="107"/>
      <c r="PYI2" s="107"/>
      <c r="PYJ2" s="107"/>
      <c r="PYK2" s="107"/>
      <c r="PYL2" s="107"/>
      <c r="PYM2" s="107"/>
      <c r="PYN2" s="107"/>
      <c r="PYO2" s="107"/>
      <c r="PYP2" s="107"/>
      <c r="PYQ2" s="107"/>
      <c r="PYR2" s="107"/>
      <c r="PYS2" s="107"/>
      <c r="PYT2" s="107"/>
      <c r="PYU2" s="107"/>
      <c r="PYV2" s="107"/>
      <c r="PYW2" s="107"/>
      <c r="PYX2" s="107"/>
      <c r="PYY2" s="107"/>
      <c r="PYZ2" s="107"/>
      <c r="PZA2" s="107"/>
      <c r="PZB2" s="107"/>
      <c r="PZC2" s="107"/>
      <c r="PZD2" s="107"/>
      <c r="PZE2" s="107"/>
      <c r="PZF2" s="107"/>
      <c r="PZG2" s="107"/>
      <c r="PZH2" s="107"/>
      <c r="PZI2" s="107"/>
      <c r="PZJ2" s="107"/>
      <c r="PZK2" s="107"/>
      <c r="PZL2" s="107"/>
      <c r="PZM2" s="107"/>
      <c r="PZN2" s="107"/>
      <c r="PZO2" s="107"/>
      <c r="PZP2" s="107"/>
      <c r="PZQ2" s="107"/>
      <c r="PZR2" s="107"/>
      <c r="PZS2" s="107"/>
      <c r="PZT2" s="107"/>
      <c r="PZU2" s="107"/>
      <c r="PZV2" s="107"/>
      <c r="PZW2" s="107"/>
      <c r="PZX2" s="107"/>
      <c r="PZY2" s="107"/>
      <c r="PZZ2" s="107"/>
      <c r="QAA2" s="107"/>
      <c r="QAB2" s="107"/>
      <c r="QAC2" s="107"/>
      <c r="QAD2" s="107"/>
      <c r="QAE2" s="107"/>
      <c r="QAF2" s="107"/>
      <c r="QAG2" s="107"/>
      <c r="QAH2" s="107"/>
      <c r="QAI2" s="107"/>
      <c r="QAJ2" s="107"/>
      <c r="QAK2" s="107"/>
      <c r="QAL2" s="107"/>
      <c r="QAM2" s="107"/>
      <c r="QAN2" s="107"/>
      <c r="QAO2" s="107"/>
      <c r="QAP2" s="107"/>
      <c r="QAQ2" s="107"/>
      <c r="QAR2" s="107"/>
      <c r="QAS2" s="107"/>
      <c r="QAT2" s="107"/>
      <c r="QAU2" s="107"/>
      <c r="QAV2" s="107"/>
      <c r="QAW2" s="107"/>
      <c r="QAX2" s="107"/>
      <c r="QAY2" s="107"/>
      <c r="QAZ2" s="107"/>
      <c r="QBA2" s="107"/>
      <c r="QBB2" s="107"/>
      <c r="QBC2" s="107"/>
      <c r="QBD2" s="107"/>
      <c r="QBE2" s="107"/>
      <c r="QBF2" s="107"/>
      <c r="QBG2" s="107"/>
      <c r="QBH2" s="107"/>
      <c r="QBI2" s="107"/>
      <c r="QBJ2" s="107"/>
      <c r="QBK2" s="107"/>
      <c r="QBL2" s="107"/>
      <c r="QBM2" s="107"/>
      <c r="QBN2" s="107"/>
      <c r="QBO2" s="107"/>
      <c r="QBP2" s="107"/>
      <c r="QBQ2" s="107"/>
      <c r="QBR2" s="107"/>
      <c r="QBS2" s="107"/>
      <c r="QBT2" s="107"/>
      <c r="QBU2" s="107"/>
      <c r="QBV2" s="107"/>
      <c r="QBW2" s="107"/>
      <c r="QBX2" s="107"/>
      <c r="QBY2" s="107"/>
      <c r="QBZ2" s="107"/>
      <c r="QCA2" s="107"/>
      <c r="QCB2" s="107"/>
      <c r="QCC2" s="107"/>
      <c r="QCD2" s="107"/>
      <c r="QCE2" s="107"/>
      <c r="QCF2" s="107"/>
      <c r="QCG2" s="107"/>
      <c r="QCH2" s="107"/>
      <c r="QCI2" s="107"/>
      <c r="QCJ2" s="107"/>
      <c r="QCK2" s="107"/>
      <c r="QCL2" s="107"/>
      <c r="QCM2" s="107"/>
      <c r="QCN2" s="107"/>
      <c r="QCO2" s="107"/>
      <c r="QCP2" s="107"/>
      <c r="QCQ2" s="107"/>
      <c r="QCR2" s="107"/>
      <c r="QCS2" s="107"/>
      <c r="QCT2" s="107"/>
      <c r="QCU2" s="107"/>
      <c r="QCV2" s="107"/>
      <c r="QCW2" s="107"/>
      <c r="QCX2" s="107"/>
      <c r="QCY2" s="107"/>
      <c r="QCZ2" s="107"/>
      <c r="QDA2" s="107"/>
      <c r="QDB2" s="107"/>
      <c r="QDC2" s="107"/>
      <c r="QDD2" s="107"/>
      <c r="QDE2" s="107"/>
      <c r="QDF2" s="107"/>
      <c r="QDG2" s="107"/>
      <c r="QDH2" s="107"/>
      <c r="QDI2" s="107"/>
      <c r="QDJ2" s="107"/>
      <c r="QDK2" s="107"/>
      <c r="QDL2" s="107"/>
      <c r="QDM2" s="107"/>
      <c r="QDN2" s="107"/>
      <c r="QDO2" s="107"/>
      <c r="QDP2" s="107"/>
      <c r="QDQ2" s="107"/>
      <c r="QDR2" s="107"/>
      <c r="QDS2" s="107"/>
      <c r="QDT2" s="107"/>
      <c r="QDU2" s="107"/>
      <c r="QDV2" s="107"/>
      <c r="QDW2" s="107"/>
      <c r="QDX2" s="107"/>
      <c r="QDY2" s="107"/>
      <c r="QDZ2" s="107"/>
      <c r="QEA2" s="107"/>
      <c r="QEB2" s="107"/>
      <c r="QEC2" s="107"/>
      <c r="QED2" s="107"/>
      <c r="QEE2" s="107"/>
      <c r="QEF2" s="107"/>
      <c r="QEG2" s="107"/>
      <c r="QEH2" s="107"/>
      <c r="QEI2" s="107"/>
      <c r="QEJ2" s="107"/>
      <c r="QEK2" s="107"/>
      <c r="QEL2" s="107"/>
      <c r="QEM2" s="107"/>
      <c r="QEN2" s="107"/>
      <c r="QEO2" s="107"/>
      <c r="QEP2" s="107"/>
      <c r="QEQ2" s="107"/>
      <c r="QER2" s="107"/>
      <c r="QES2" s="107"/>
      <c r="QET2" s="107"/>
      <c r="QEU2" s="107"/>
      <c r="QEV2" s="107"/>
      <c r="QEW2" s="107"/>
      <c r="QEX2" s="107"/>
      <c r="QEY2" s="107"/>
      <c r="QEZ2" s="107"/>
      <c r="QFA2" s="107"/>
      <c r="QFB2" s="107"/>
      <c r="QFC2" s="107"/>
      <c r="QFD2" s="107"/>
      <c r="QFE2" s="107"/>
      <c r="QFF2" s="107"/>
      <c r="QFG2" s="107"/>
      <c r="QFH2" s="107"/>
      <c r="QFI2" s="107"/>
      <c r="QFJ2" s="107"/>
      <c r="QFK2" s="107"/>
      <c r="QFL2" s="107"/>
      <c r="QFM2" s="107"/>
      <c r="QFN2" s="107"/>
      <c r="QFO2" s="107"/>
      <c r="QFP2" s="107"/>
      <c r="QFQ2" s="107"/>
      <c r="QFR2" s="107"/>
      <c r="QFS2" s="107"/>
      <c r="QFT2" s="107"/>
      <c r="QFU2" s="107"/>
      <c r="QFV2" s="107"/>
      <c r="QFW2" s="107"/>
      <c r="QFX2" s="107"/>
      <c r="QFY2" s="107"/>
      <c r="QFZ2" s="107"/>
      <c r="QGA2" s="107"/>
      <c r="QGB2" s="107"/>
      <c r="QGC2" s="107"/>
      <c r="QGD2" s="107"/>
      <c r="QGE2" s="107"/>
      <c r="QGF2" s="107"/>
      <c r="QGG2" s="107"/>
      <c r="QGH2" s="107"/>
      <c r="QGI2" s="107"/>
      <c r="QGJ2" s="107"/>
      <c r="QGK2" s="107"/>
      <c r="QGL2" s="107"/>
      <c r="QGM2" s="107"/>
      <c r="QGN2" s="107"/>
      <c r="QGO2" s="107"/>
      <c r="QGP2" s="107"/>
      <c r="QGQ2" s="107"/>
      <c r="QGR2" s="107"/>
      <c r="QGS2" s="107"/>
      <c r="QGT2" s="107"/>
      <c r="QGU2" s="107"/>
      <c r="QGV2" s="107"/>
      <c r="QGW2" s="107"/>
      <c r="QGX2" s="107"/>
      <c r="QGY2" s="107"/>
      <c r="QGZ2" s="107"/>
      <c r="QHA2" s="107"/>
      <c r="QHB2" s="107"/>
      <c r="QHC2" s="107"/>
      <c r="QHD2" s="107"/>
      <c r="QHE2" s="107"/>
      <c r="QHF2" s="107"/>
      <c r="QHG2" s="107"/>
      <c r="QHH2" s="107"/>
      <c r="QHI2" s="107"/>
      <c r="QHJ2" s="107"/>
      <c r="QHK2" s="107"/>
      <c r="QHL2" s="107"/>
      <c r="QHM2" s="107"/>
      <c r="QHN2" s="107"/>
      <c r="QHO2" s="107"/>
      <c r="QHP2" s="107"/>
      <c r="QHQ2" s="107"/>
      <c r="QHR2" s="107"/>
      <c r="QHS2" s="107"/>
      <c r="QHT2" s="107"/>
      <c r="QHU2" s="107"/>
      <c r="QHV2" s="107"/>
      <c r="QHW2" s="107"/>
      <c r="QHX2" s="107"/>
      <c r="QHY2" s="107"/>
      <c r="QHZ2" s="107"/>
      <c r="QIA2" s="107"/>
      <c r="QIB2" s="107"/>
      <c r="QIC2" s="107"/>
      <c r="QID2" s="107"/>
      <c r="QIE2" s="107"/>
      <c r="QIF2" s="107"/>
      <c r="QIG2" s="107"/>
      <c r="QIH2" s="107"/>
      <c r="QII2" s="107"/>
      <c r="QIJ2" s="107"/>
      <c r="QIK2" s="107"/>
      <c r="QIL2" s="107"/>
      <c r="QIM2" s="107"/>
      <c r="QIN2" s="107"/>
      <c r="QIO2" s="107"/>
      <c r="QIP2" s="107"/>
      <c r="QIQ2" s="107"/>
      <c r="QIR2" s="107"/>
      <c r="QIS2" s="107"/>
      <c r="QIT2" s="107"/>
      <c r="QIU2" s="107"/>
      <c r="QIV2" s="107"/>
      <c r="QIW2" s="107"/>
      <c r="QIX2" s="107"/>
      <c r="QIY2" s="107"/>
      <c r="QIZ2" s="107"/>
      <c r="QJA2" s="107"/>
      <c r="QJB2" s="107"/>
      <c r="QJC2" s="107"/>
      <c r="QJD2" s="107"/>
      <c r="QJE2" s="107"/>
      <c r="QJF2" s="107"/>
      <c r="QJG2" s="107"/>
      <c r="QJH2" s="107"/>
      <c r="QJI2" s="107"/>
      <c r="QJJ2" s="107"/>
      <c r="QJK2" s="107"/>
      <c r="QJL2" s="107"/>
      <c r="QJM2" s="107"/>
      <c r="QJN2" s="107"/>
      <c r="QJO2" s="107"/>
      <c r="QJP2" s="107"/>
      <c r="QJQ2" s="107"/>
      <c r="QJR2" s="107"/>
      <c r="QJS2" s="107"/>
      <c r="QJT2" s="107"/>
      <c r="QJU2" s="107"/>
      <c r="QJV2" s="107"/>
      <c r="QJW2" s="107"/>
      <c r="QJX2" s="107"/>
      <c r="QJY2" s="107"/>
      <c r="QJZ2" s="107"/>
      <c r="QKA2" s="107"/>
      <c r="QKB2" s="107"/>
      <c r="QKC2" s="107"/>
      <c r="QKD2" s="107"/>
      <c r="QKE2" s="107"/>
      <c r="QKF2" s="107"/>
      <c r="QKG2" s="107"/>
      <c r="QKH2" s="107"/>
      <c r="QKI2" s="107"/>
      <c r="QKJ2" s="107"/>
      <c r="QKK2" s="107"/>
      <c r="QKL2" s="107"/>
      <c r="QKM2" s="107"/>
      <c r="QKN2" s="107"/>
      <c r="QKO2" s="107"/>
      <c r="QKP2" s="107"/>
      <c r="QKQ2" s="107"/>
      <c r="QKR2" s="107"/>
      <c r="QKS2" s="107"/>
      <c r="QKT2" s="107"/>
      <c r="QKU2" s="107"/>
      <c r="QKV2" s="107"/>
      <c r="QKW2" s="107"/>
      <c r="QKX2" s="107"/>
      <c r="QKY2" s="107"/>
      <c r="QKZ2" s="107"/>
      <c r="QLA2" s="107"/>
      <c r="QLB2" s="107"/>
      <c r="QLC2" s="107"/>
      <c r="QLD2" s="107"/>
      <c r="QLE2" s="107"/>
      <c r="QLF2" s="107"/>
      <c r="QLG2" s="107"/>
      <c r="QLH2" s="107"/>
      <c r="QLI2" s="107"/>
      <c r="QLJ2" s="107"/>
      <c r="QLK2" s="107"/>
      <c r="QLL2" s="107"/>
      <c r="QLM2" s="107"/>
      <c r="QLN2" s="107"/>
      <c r="QLO2" s="107"/>
      <c r="QLP2" s="107"/>
      <c r="QLQ2" s="107"/>
      <c r="QLR2" s="107"/>
      <c r="QLS2" s="107"/>
      <c r="QLT2" s="107"/>
      <c r="QLU2" s="107"/>
      <c r="QLV2" s="107"/>
      <c r="QLW2" s="107"/>
      <c r="QLX2" s="107"/>
      <c r="QLY2" s="107"/>
      <c r="QLZ2" s="107"/>
      <c r="QMA2" s="107"/>
      <c r="QMB2" s="107"/>
      <c r="QMC2" s="107"/>
      <c r="QMD2" s="107"/>
      <c r="QME2" s="107"/>
      <c r="QMF2" s="107"/>
      <c r="QMG2" s="107"/>
      <c r="QMH2" s="107"/>
      <c r="QMI2" s="107"/>
      <c r="QMJ2" s="107"/>
      <c r="QMK2" s="107"/>
      <c r="QML2" s="107"/>
      <c r="QMM2" s="107"/>
      <c r="QMN2" s="107"/>
      <c r="QMO2" s="107"/>
      <c r="QMP2" s="107"/>
      <c r="QMQ2" s="107"/>
      <c r="QMR2" s="107"/>
      <c r="QMS2" s="107"/>
      <c r="QMT2" s="107"/>
      <c r="QMU2" s="107"/>
      <c r="QMV2" s="107"/>
      <c r="QMW2" s="107"/>
      <c r="QMX2" s="107"/>
      <c r="QMY2" s="107"/>
      <c r="QMZ2" s="107"/>
      <c r="QNA2" s="107"/>
      <c r="QNB2" s="107"/>
      <c r="QNC2" s="107"/>
      <c r="QND2" s="107"/>
      <c r="QNE2" s="107"/>
      <c r="QNF2" s="107"/>
      <c r="QNG2" s="107"/>
      <c r="QNH2" s="107"/>
      <c r="QNI2" s="107"/>
      <c r="QNJ2" s="107"/>
      <c r="QNK2" s="107"/>
      <c r="QNL2" s="107"/>
      <c r="QNM2" s="107"/>
      <c r="QNN2" s="107"/>
      <c r="QNO2" s="107"/>
      <c r="QNP2" s="107"/>
      <c r="QNQ2" s="107"/>
      <c r="QNR2" s="107"/>
      <c r="QNS2" s="107"/>
      <c r="QNT2" s="107"/>
      <c r="QNU2" s="107"/>
      <c r="QNV2" s="107"/>
      <c r="QNW2" s="107"/>
      <c r="QNX2" s="107"/>
      <c r="QNY2" s="107"/>
      <c r="QNZ2" s="107"/>
      <c r="QOA2" s="107"/>
      <c r="QOB2" s="107"/>
      <c r="QOC2" s="107"/>
      <c r="QOD2" s="107"/>
      <c r="QOE2" s="107"/>
      <c r="QOF2" s="107"/>
      <c r="QOG2" s="107"/>
      <c r="QOH2" s="107"/>
      <c r="QOI2" s="107"/>
      <c r="QOJ2" s="107"/>
      <c r="QOK2" s="107"/>
      <c r="QOL2" s="107"/>
      <c r="QOM2" s="107"/>
      <c r="QON2" s="107"/>
      <c r="QOO2" s="107"/>
      <c r="QOP2" s="107"/>
      <c r="QOQ2" s="107"/>
      <c r="QOR2" s="107"/>
      <c r="QOS2" s="107"/>
      <c r="QOT2" s="107"/>
      <c r="QOU2" s="107"/>
      <c r="QOV2" s="107"/>
      <c r="QOW2" s="107"/>
      <c r="QOX2" s="107"/>
      <c r="QOY2" s="107"/>
      <c r="QOZ2" s="107"/>
      <c r="QPA2" s="107"/>
      <c r="QPB2" s="107"/>
      <c r="QPC2" s="107"/>
      <c r="QPD2" s="107"/>
      <c r="QPE2" s="107"/>
      <c r="QPF2" s="107"/>
      <c r="QPG2" s="107"/>
      <c r="QPH2" s="107"/>
      <c r="QPI2" s="107"/>
      <c r="QPJ2" s="107"/>
      <c r="QPK2" s="107"/>
      <c r="QPL2" s="107"/>
      <c r="QPM2" s="107"/>
      <c r="QPN2" s="107"/>
      <c r="QPO2" s="107"/>
      <c r="QPP2" s="107"/>
      <c r="QPQ2" s="107"/>
      <c r="QPR2" s="107"/>
      <c r="QPS2" s="107"/>
      <c r="QPT2" s="107"/>
      <c r="QPU2" s="107"/>
      <c r="QPV2" s="107"/>
      <c r="QPW2" s="107"/>
      <c r="QPX2" s="107"/>
      <c r="QPY2" s="107"/>
      <c r="QPZ2" s="107"/>
      <c r="QQA2" s="107"/>
      <c r="QQB2" s="107"/>
      <c r="QQC2" s="107"/>
      <c r="QQD2" s="107"/>
      <c r="QQE2" s="107"/>
      <c r="QQF2" s="107"/>
      <c r="QQG2" s="107"/>
      <c r="QQH2" s="107"/>
      <c r="QQI2" s="107"/>
      <c r="QQJ2" s="107"/>
      <c r="QQK2" s="107"/>
      <c r="QQL2" s="107"/>
      <c r="QQM2" s="107"/>
      <c r="QQN2" s="107"/>
      <c r="QQO2" s="107"/>
      <c r="QQP2" s="107"/>
      <c r="QQQ2" s="107"/>
      <c r="QQR2" s="107"/>
      <c r="QQS2" s="107"/>
      <c r="QQT2" s="107"/>
      <c r="QQU2" s="107"/>
      <c r="QQV2" s="107"/>
      <c r="QQW2" s="107"/>
      <c r="QQX2" s="107"/>
      <c r="QQY2" s="107"/>
      <c r="QQZ2" s="107"/>
      <c r="QRA2" s="107"/>
      <c r="QRB2" s="107"/>
      <c r="QRC2" s="107"/>
      <c r="QRD2" s="107"/>
      <c r="QRE2" s="107"/>
      <c r="QRF2" s="107"/>
      <c r="QRG2" s="107"/>
      <c r="QRH2" s="107"/>
      <c r="QRI2" s="107"/>
      <c r="QRJ2" s="107"/>
      <c r="QRK2" s="107"/>
      <c r="QRL2" s="107"/>
      <c r="QRM2" s="107"/>
      <c r="QRN2" s="107"/>
      <c r="QRO2" s="107"/>
      <c r="QRP2" s="107"/>
      <c r="QRQ2" s="107"/>
      <c r="QRR2" s="107"/>
      <c r="QRS2" s="107"/>
      <c r="QRT2" s="107"/>
      <c r="QRU2" s="107"/>
      <c r="QRV2" s="107"/>
      <c r="QRW2" s="107"/>
      <c r="QRX2" s="107"/>
      <c r="QRY2" s="107"/>
      <c r="QRZ2" s="107"/>
      <c r="QSA2" s="107"/>
      <c r="QSB2" s="107"/>
      <c r="QSC2" s="107"/>
      <c r="QSD2" s="107"/>
      <c r="QSE2" s="107"/>
      <c r="QSF2" s="107"/>
      <c r="QSG2" s="107"/>
      <c r="QSH2" s="107"/>
      <c r="QSI2" s="107"/>
      <c r="QSJ2" s="107"/>
      <c r="QSK2" s="107"/>
      <c r="QSL2" s="107"/>
      <c r="QSM2" s="107"/>
      <c r="QSN2" s="107"/>
      <c r="QSO2" s="107"/>
      <c r="QSP2" s="107"/>
      <c r="QSQ2" s="107"/>
      <c r="QSR2" s="107"/>
      <c r="QSS2" s="107"/>
      <c r="QST2" s="107"/>
      <c r="QSU2" s="107"/>
      <c r="QSV2" s="107"/>
      <c r="QSW2" s="107"/>
      <c r="QSX2" s="107"/>
      <c r="QSY2" s="107"/>
      <c r="QSZ2" s="107"/>
      <c r="QTA2" s="107"/>
      <c r="QTB2" s="107"/>
      <c r="QTC2" s="107"/>
      <c r="QTD2" s="107"/>
      <c r="QTE2" s="107"/>
      <c r="QTF2" s="107"/>
      <c r="QTG2" s="107"/>
      <c r="QTH2" s="107"/>
      <c r="QTI2" s="107"/>
      <c r="QTJ2" s="107"/>
      <c r="QTK2" s="107"/>
      <c r="QTL2" s="107"/>
      <c r="QTM2" s="107"/>
      <c r="QTN2" s="107"/>
      <c r="QTO2" s="107"/>
      <c r="QTP2" s="107"/>
      <c r="QTQ2" s="107"/>
      <c r="QTR2" s="107"/>
      <c r="QTS2" s="107"/>
      <c r="QTT2" s="107"/>
      <c r="QTU2" s="107"/>
      <c r="QTV2" s="107"/>
      <c r="QTW2" s="107"/>
      <c r="QTX2" s="107"/>
      <c r="QTY2" s="107"/>
      <c r="QTZ2" s="107"/>
      <c r="QUA2" s="107"/>
      <c r="QUB2" s="107"/>
      <c r="QUC2" s="107"/>
      <c r="QUD2" s="107"/>
      <c r="QUE2" s="107"/>
      <c r="QUF2" s="107"/>
      <c r="QUG2" s="107"/>
      <c r="QUH2" s="107"/>
      <c r="QUI2" s="107"/>
      <c r="QUJ2" s="107"/>
      <c r="QUK2" s="107"/>
      <c r="QUL2" s="107"/>
      <c r="QUM2" s="107"/>
      <c r="QUN2" s="107"/>
      <c r="QUO2" s="107"/>
      <c r="QUP2" s="107"/>
      <c r="QUQ2" s="107"/>
      <c r="QUR2" s="107"/>
      <c r="QUS2" s="107"/>
      <c r="QUT2" s="107"/>
      <c r="QUU2" s="107"/>
      <c r="QUV2" s="107"/>
      <c r="QUW2" s="107"/>
      <c r="QUX2" s="107"/>
      <c r="QUY2" s="107"/>
      <c r="QUZ2" s="107"/>
      <c r="QVA2" s="107"/>
      <c r="QVB2" s="107"/>
      <c r="QVC2" s="107"/>
      <c r="QVD2" s="107"/>
      <c r="QVE2" s="107"/>
      <c r="QVF2" s="107"/>
      <c r="QVG2" s="107"/>
      <c r="QVH2" s="107"/>
      <c r="QVI2" s="107"/>
      <c r="QVJ2" s="107"/>
      <c r="QVK2" s="107"/>
      <c r="QVL2" s="107"/>
      <c r="QVM2" s="107"/>
      <c r="QVN2" s="107"/>
      <c r="QVO2" s="107"/>
      <c r="QVP2" s="107"/>
      <c r="QVQ2" s="107"/>
      <c r="QVR2" s="107"/>
      <c r="QVS2" s="107"/>
      <c r="QVT2" s="107"/>
      <c r="QVU2" s="107"/>
      <c r="QVV2" s="107"/>
      <c r="QVW2" s="107"/>
      <c r="QVX2" s="107"/>
      <c r="QVY2" s="107"/>
      <c r="QVZ2" s="107"/>
      <c r="QWA2" s="107"/>
      <c r="QWB2" s="107"/>
      <c r="QWC2" s="107"/>
      <c r="QWD2" s="107"/>
      <c r="QWE2" s="107"/>
      <c r="QWF2" s="107"/>
      <c r="QWG2" s="107"/>
      <c r="QWH2" s="107"/>
      <c r="QWI2" s="107"/>
      <c r="QWJ2" s="107"/>
      <c r="QWK2" s="107"/>
      <c r="QWL2" s="107"/>
      <c r="QWM2" s="107"/>
      <c r="QWN2" s="107"/>
      <c r="QWO2" s="107"/>
      <c r="QWP2" s="107"/>
      <c r="QWQ2" s="107"/>
      <c r="QWR2" s="107"/>
      <c r="QWS2" s="107"/>
      <c r="QWT2" s="107"/>
      <c r="QWU2" s="107"/>
      <c r="QWV2" s="107"/>
      <c r="QWW2" s="107"/>
      <c r="QWX2" s="107"/>
      <c r="QWY2" s="107"/>
      <c r="QWZ2" s="107"/>
      <c r="QXA2" s="107"/>
      <c r="QXB2" s="107"/>
      <c r="QXC2" s="107"/>
      <c r="QXD2" s="107"/>
      <c r="QXE2" s="107"/>
      <c r="QXF2" s="107"/>
      <c r="QXG2" s="107"/>
      <c r="QXH2" s="107"/>
      <c r="QXI2" s="107"/>
      <c r="QXJ2" s="107"/>
      <c r="QXK2" s="107"/>
      <c r="QXL2" s="107"/>
      <c r="QXM2" s="107"/>
      <c r="QXN2" s="107"/>
      <c r="QXO2" s="107"/>
      <c r="QXP2" s="107"/>
      <c r="QXQ2" s="107"/>
      <c r="QXR2" s="107"/>
      <c r="QXS2" s="107"/>
      <c r="QXT2" s="107"/>
      <c r="QXU2" s="107"/>
      <c r="QXV2" s="107"/>
      <c r="QXW2" s="107"/>
      <c r="QXX2" s="107"/>
      <c r="QXY2" s="107"/>
      <c r="QXZ2" s="107"/>
      <c r="QYA2" s="107"/>
      <c r="QYB2" s="107"/>
      <c r="QYC2" s="107"/>
      <c r="QYD2" s="107"/>
      <c r="QYE2" s="107"/>
      <c r="QYF2" s="107"/>
      <c r="QYG2" s="107"/>
      <c r="QYH2" s="107"/>
      <c r="QYI2" s="107"/>
      <c r="QYJ2" s="107"/>
      <c r="QYK2" s="107"/>
      <c r="QYL2" s="107"/>
      <c r="QYM2" s="107"/>
      <c r="QYN2" s="107"/>
      <c r="QYO2" s="107"/>
      <c r="QYP2" s="107"/>
      <c r="QYQ2" s="107"/>
      <c r="QYR2" s="107"/>
      <c r="QYS2" s="107"/>
      <c r="QYT2" s="107"/>
      <c r="QYU2" s="107"/>
      <c r="QYV2" s="107"/>
      <c r="QYW2" s="107"/>
      <c r="QYX2" s="107"/>
      <c r="QYY2" s="107"/>
      <c r="QYZ2" s="107"/>
      <c r="QZA2" s="107"/>
      <c r="QZB2" s="107"/>
      <c r="QZC2" s="107"/>
      <c r="QZD2" s="107"/>
      <c r="QZE2" s="107"/>
      <c r="QZF2" s="107"/>
      <c r="QZG2" s="107"/>
      <c r="QZH2" s="107"/>
      <c r="QZI2" s="107"/>
      <c r="QZJ2" s="107"/>
      <c r="QZK2" s="107"/>
      <c r="QZL2" s="107"/>
      <c r="QZM2" s="107"/>
      <c r="QZN2" s="107"/>
      <c r="QZO2" s="107"/>
      <c r="QZP2" s="107"/>
      <c r="QZQ2" s="107"/>
      <c r="QZR2" s="107"/>
      <c r="QZS2" s="107"/>
      <c r="QZT2" s="107"/>
      <c r="QZU2" s="107"/>
      <c r="QZV2" s="107"/>
      <c r="QZW2" s="107"/>
      <c r="QZX2" s="107"/>
      <c r="QZY2" s="107"/>
      <c r="QZZ2" s="107"/>
      <c r="RAA2" s="107"/>
      <c r="RAB2" s="107"/>
      <c r="RAC2" s="107"/>
      <c r="RAD2" s="107"/>
      <c r="RAE2" s="107"/>
      <c r="RAF2" s="107"/>
      <c r="RAG2" s="107"/>
      <c r="RAH2" s="107"/>
      <c r="RAI2" s="107"/>
      <c r="RAJ2" s="107"/>
      <c r="RAK2" s="107"/>
      <c r="RAL2" s="107"/>
      <c r="RAM2" s="107"/>
      <c r="RAN2" s="107"/>
      <c r="RAO2" s="107"/>
      <c r="RAP2" s="107"/>
      <c r="RAQ2" s="107"/>
      <c r="RAR2" s="107"/>
      <c r="RAS2" s="107"/>
      <c r="RAT2" s="107"/>
      <c r="RAU2" s="107"/>
      <c r="RAV2" s="107"/>
      <c r="RAW2" s="107"/>
      <c r="RAX2" s="107"/>
      <c r="RAY2" s="107"/>
      <c r="RAZ2" s="107"/>
      <c r="RBA2" s="107"/>
      <c r="RBB2" s="107"/>
      <c r="RBC2" s="107"/>
      <c r="RBD2" s="107"/>
      <c r="RBE2" s="107"/>
      <c r="RBF2" s="107"/>
      <c r="RBG2" s="107"/>
      <c r="RBH2" s="107"/>
      <c r="RBI2" s="107"/>
      <c r="RBJ2" s="107"/>
      <c r="RBK2" s="107"/>
      <c r="RBL2" s="107"/>
      <c r="RBM2" s="107"/>
      <c r="RBN2" s="107"/>
      <c r="RBO2" s="107"/>
      <c r="RBP2" s="107"/>
      <c r="RBQ2" s="107"/>
      <c r="RBR2" s="107"/>
      <c r="RBS2" s="107"/>
      <c r="RBT2" s="107"/>
      <c r="RBU2" s="107"/>
      <c r="RBV2" s="107"/>
      <c r="RBW2" s="107"/>
      <c r="RBX2" s="107"/>
      <c r="RBY2" s="107"/>
      <c r="RBZ2" s="107"/>
      <c r="RCA2" s="107"/>
      <c r="RCB2" s="107"/>
      <c r="RCC2" s="107"/>
      <c r="RCD2" s="107"/>
      <c r="RCE2" s="107"/>
      <c r="RCF2" s="107"/>
      <c r="RCG2" s="107"/>
      <c r="RCH2" s="107"/>
      <c r="RCI2" s="107"/>
      <c r="RCJ2" s="107"/>
      <c r="RCK2" s="107"/>
      <c r="RCL2" s="107"/>
      <c r="RCM2" s="107"/>
      <c r="RCN2" s="107"/>
      <c r="RCO2" s="107"/>
      <c r="RCP2" s="107"/>
      <c r="RCQ2" s="107"/>
      <c r="RCR2" s="107"/>
      <c r="RCS2" s="107"/>
      <c r="RCT2" s="107"/>
      <c r="RCU2" s="107"/>
      <c r="RCV2" s="107"/>
      <c r="RCW2" s="107"/>
      <c r="RCX2" s="107"/>
      <c r="RCY2" s="107"/>
      <c r="RCZ2" s="107"/>
      <c r="RDA2" s="107"/>
      <c r="RDB2" s="107"/>
      <c r="RDC2" s="107"/>
      <c r="RDD2" s="107"/>
      <c r="RDE2" s="107"/>
      <c r="RDF2" s="107"/>
      <c r="RDG2" s="107"/>
      <c r="RDH2" s="107"/>
      <c r="RDI2" s="107"/>
      <c r="RDJ2" s="107"/>
      <c r="RDK2" s="107"/>
      <c r="RDL2" s="107"/>
      <c r="RDM2" s="107"/>
      <c r="RDN2" s="107"/>
      <c r="RDO2" s="107"/>
      <c r="RDP2" s="107"/>
      <c r="RDQ2" s="107"/>
      <c r="RDR2" s="107"/>
      <c r="RDS2" s="107"/>
      <c r="RDT2" s="107"/>
      <c r="RDU2" s="107"/>
      <c r="RDV2" s="107"/>
      <c r="RDW2" s="107"/>
      <c r="RDX2" s="107"/>
      <c r="RDY2" s="107"/>
      <c r="RDZ2" s="107"/>
      <c r="REA2" s="107"/>
      <c r="REB2" s="107"/>
      <c r="REC2" s="107"/>
      <c r="RED2" s="107"/>
      <c r="REE2" s="107"/>
      <c r="REF2" s="107"/>
      <c r="REG2" s="107"/>
      <c r="REH2" s="107"/>
      <c r="REI2" s="107"/>
      <c r="REJ2" s="107"/>
      <c r="REK2" s="107"/>
      <c r="REL2" s="107"/>
      <c r="REM2" s="107"/>
      <c r="REN2" s="107"/>
      <c r="REO2" s="107"/>
      <c r="REP2" s="107"/>
      <c r="REQ2" s="107"/>
      <c r="RER2" s="107"/>
      <c r="RES2" s="107"/>
      <c r="RET2" s="107"/>
      <c r="REU2" s="107"/>
      <c r="REV2" s="107"/>
      <c r="REW2" s="107"/>
      <c r="REX2" s="107"/>
      <c r="REY2" s="107"/>
      <c r="REZ2" s="107"/>
      <c r="RFA2" s="107"/>
      <c r="RFB2" s="107"/>
      <c r="RFC2" s="107"/>
      <c r="RFD2" s="107"/>
      <c r="RFE2" s="107"/>
      <c r="RFF2" s="107"/>
      <c r="RFG2" s="107"/>
      <c r="RFH2" s="107"/>
      <c r="RFI2" s="107"/>
      <c r="RFJ2" s="107"/>
      <c r="RFK2" s="107"/>
      <c r="RFL2" s="107"/>
      <c r="RFM2" s="107"/>
      <c r="RFN2" s="107"/>
      <c r="RFO2" s="107"/>
      <c r="RFP2" s="107"/>
      <c r="RFQ2" s="107"/>
      <c r="RFR2" s="107"/>
      <c r="RFS2" s="107"/>
      <c r="RFT2" s="107"/>
      <c r="RFU2" s="107"/>
      <c r="RFV2" s="107"/>
      <c r="RFW2" s="107"/>
      <c r="RFX2" s="107"/>
      <c r="RFY2" s="107"/>
      <c r="RFZ2" s="107"/>
      <c r="RGA2" s="107"/>
      <c r="RGB2" s="107"/>
      <c r="RGC2" s="107"/>
      <c r="RGD2" s="107"/>
      <c r="RGE2" s="107"/>
      <c r="RGF2" s="107"/>
      <c r="RGG2" s="107"/>
      <c r="RGH2" s="107"/>
      <c r="RGI2" s="107"/>
      <c r="RGJ2" s="107"/>
      <c r="RGK2" s="107"/>
      <c r="RGL2" s="107"/>
      <c r="RGM2" s="107"/>
      <c r="RGN2" s="107"/>
      <c r="RGO2" s="107"/>
      <c r="RGP2" s="107"/>
      <c r="RGQ2" s="107"/>
      <c r="RGR2" s="107"/>
      <c r="RGS2" s="107"/>
      <c r="RGT2" s="107"/>
      <c r="RGU2" s="107"/>
      <c r="RGV2" s="107"/>
      <c r="RGW2" s="107"/>
      <c r="RGX2" s="107"/>
      <c r="RGY2" s="107"/>
      <c r="RGZ2" s="107"/>
      <c r="RHA2" s="107"/>
      <c r="RHB2" s="107"/>
      <c r="RHC2" s="107"/>
      <c r="RHD2" s="107"/>
      <c r="RHE2" s="107"/>
      <c r="RHF2" s="107"/>
      <c r="RHG2" s="107"/>
      <c r="RHH2" s="107"/>
      <c r="RHI2" s="107"/>
      <c r="RHJ2" s="107"/>
      <c r="RHK2" s="107"/>
      <c r="RHL2" s="107"/>
      <c r="RHM2" s="107"/>
      <c r="RHN2" s="107"/>
      <c r="RHO2" s="107"/>
      <c r="RHP2" s="107"/>
      <c r="RHQ2" s="107"/>
      <c r="RHR2" s="107"/>
      <c r="RHS2" s="107"/>
      <c r="RHT2" s="107"/>
      <c r="RHU2" s="107"/>
      <c r="RHV2" s="107"/>
      <c r="RHW2" s="107"/>
      <c r="RHX2" s="107"/>
      <c r="RHY2" s="107"/>
      <c r="RHZ2" s="107"/>
      <c r="RIA2" s="107"/>
      <c r="RIB2" s="107"/>
      <c r="RIC2" s="107"/>
      <c r="RID2" s="107"/>
      <c r="RIE2" s="107"/>
      <c r="RIF2" s="107"/>
      <c r="RIG2" s="107"/>
      <c r="RIH2" s="107"/>
      <c r="RII2" s="107"/>
      <c r="RIJ2" s="107"/>
      <c r="RIK2" s="107"/>
      <c r="RIL2" s="107"/>
      <c r="RIM2" s="107"/>
      <c r="RIN2" s="107"/>
      <c r="RIO2" s="107"/>
      <c r="RIP2" s="107"/>
      <c r="RIQ2" s="107"/>
      <c r="RIR2" s="107"/>
      <c r="RIS2" s="107"/>
      <c r="RIT2" s="107"/>
      <c r="RIU2" s="107"/>
      <c r="RIV2" s="107"/>
      <c r="RIW2" s="107"/>
      <c r="RIX2" s="107"/>
      <c r="RIY2" s="107"/>
      <c r="RIZ2" s="107"/>
      <c r="RJA2" s="107"/>
      <c r="RJB2" s="107"/>
      <c r="RJC2" s="107"/>
      <c r="RJD2" s="107"/>
      <c r="RJE2" s="107"/>
      <c r="RJF2" s="107"/>
      <c r="RJG2" s="107"/>
      <c r="RJH2" s="107"/>
      <c r="RJI2" s="107"/>
      <c r="RJJ2" s="107"/>
      <c r="RJK2" s="107"/>
      <c r="RJL2" s="107"/>
      <c r="RJM2" s="107"/>
      <c r="RJN2" s="107"/>
      <c r="RJO2" s="107"/>
      <c r="RJP2" s="107"/>
      <c r="RJQ2" s="107"/>
      <c r="RJR2" s="107"/>
      <c r="RJS2" s="107"/>
      <c r="RJT2" s="107"/>
      <c r="RJU2" s="107"/>
      <c r="RJV2" s="107"/>
      <c r="RJW2" s="107"/>
      <c r="RJX2" s="107"/>
      <c r="RJY2" s="107"/>
      <c r="RJZ2" s="107"/>
      <c r="RKA2" s="107"/>
      <c r="RKB2" s="107"/>
      <c r="RKC2" s="107"/>
      <c r="RKD2" s="107"/>
      <c r="RKE2" s="107"/>
      <c r="RKF2" s="107"/>
      <c r="RKG2" s="107"/>
      <c r="RKH2" s="107"/>
      <c r="RKI2" s="107"/>
      <c r="RKJ2" s="107"/>
      <c r="RKK2" s="107"/>
      <c r="RKL2" s="107"/>
      <c r="RKM2" s="107"/>
      <c r="RKN2" s="107"/>
      <c r="RKO2" s="107"/>
      <c r="RKP2" s="107"/>
      <c r="RKQ2" s="107"/>
      <c r="RKR2" s="107"/>
      <c r="RKS2" s="107"/>
      <c r="RKT2" s="107"/>
      <c r="RKU2" s="107"/>
      <c r="RKV2" s="107"/>
      <c r="RKW2" s="107"/>
      <c r="RKX2" s="107"/>
      <c r="RKY2" s="107"/>
      <c r="RKZ2" s="107"/>
      <c r="RLA2" s="107"/>
      <c r="RLB2" s="107"/>
      <c r="RLC2" s="107"/>
      <c r="RLD2" s="107"/>
      <c r="RLE2" s="107"/>
      <c r="RLF2" s="107"/>
      <c r="RLG2" s="107"/>
      <c r="RLH2" s="107"/>
      <c r="RLI2" s="107"/>
      <c r="RLJ2" s="107"/>
      <c r="RLK2" s="107"/>
      <c r="RLL2" s="107"/>
      <c r="RLM2" s="107"/>
      <c r="RLN2" s="107"/>
      <c r="RLO2" s="107"/>
      <c r="RLP2" s="107"/>
      <c r="RLQ2" s="107"/>
      <c r="RLR2" s="107"/>
      <c r="RLS2" s="107"/>
      <c r="RLT2" s="107"/>
      <c r="RLU2" s="107"/>
      <c r="RLV2" s="107"/>
      <c r="RLW2" s="107"/>
      <c r="RLX2" s="107"/>
      <c r="RLY2" s="107"/>
      <c r="RLZ2" s="107"/>
      <c r="RMA2" s="107"/>
      <c r="RMB2" s="107"/>
      <c r="RMC2" s="107"/>
      <c r="RMD2" s="107"/>
      <c r="RME2" s="107"/>
      <c r="RMF2" s="107"/>
      <c r="RMG2" s="107"/>
      <c r="RMH2" s="107"/>
      <c r="RMI2" s="107"/>
      <c r="RMJ2" s="107"/>
      <c r="RMK2" s="107"/>
      <c r="RML2" s="107"/>
      <c r="RMM2" s="107"/>
      <c r="RMN2" s="107"/>
      <c r="RMO2" s="107"/>
      <c r="RMP2" s="107"/>
      <c r="RMQ2" s="107"/>
      <c r="RMR2" s="107"/>
      <c r="RMS2" s="107"/>
      <c r="RMT2" s="107"/>
      <c r="RMU2" s="107"/>
      <c r="RMV2" s="107"/>
      <c r="RMW2" s="107"/>
      <c r="RMX2" s="107"/>
      <c r="RMY2" s="107"/>
      <c r="RMZ2" s="107"/>
      <c r="RNA2" s="107"/>
      <c r="RNB2" s="107"/>
      <c r="RNC2" s="107"/>
      <c r="RND2" s="107"/>
      <c r="RNE2" s="107"/>
      <c r="RNF2" s="107"/>
      <c r="RNG2" s="107"/>
      <c r="RNH2" s="107"/>
      <c r="RNI2" s="107"/>
      <c r="RNJ2" s="107"/>
      <c r="RNK2" s="107"/>
      <c r="RNL2" s="107"/>
      <c r="RNM2" s="107"/>
      <c r="RNN2" s="107"/>
      <c r="RNO2" s="107"/>
      <c r="RNP2" s="107"/>
      <c r="RNQ2" s="107"/>
      <c r="RNR2" s="107"/>
      <c r="RNS2" s="107"/>
      <c r="RNT2" s="107"/>
      <c r="RNU2" s="107"/>
      <c r="RNV2" s="107"/>
      <c r="RNW2" s="107"/>
      <c r="RNX2" s="107"/>
      <c r="RNY2" s="107"/>
      <c r="RNZ2" s="107"/>
      <c r="ROA2" s="107"/>
      <c r="ROB2" s="107"/>
      <c r="ROC2" s="107"/>
      <c r="ROD2" s="107"/>
      <c r="ROE2" s="107"/>
      <c r="ROF2" s="107"/>
      <c r="ROG2" s="107"/>
      <c r="ROH2" s="107"/>
      <c r="ROI2" s="107"/>
      <c r="ROJ2" s="107"/>
      <c r="ROK2" s="107"/>
      <c r="ROL2" s="107"/>
      <c r="ROM2" s="107"/>
      <c r="RON2" s="107"/>
      <c r="ROO2" s="107"/>
      <c r="ROP2" s="107"/>
      <c r="ROQ2" s="107"/>
      <c r="ROR2" s="107"/>
      <c r="ROS2" s="107"/>
      <c r="ROT2" s="107"/>
      <c r="ROU2" s="107"/>
      <c r="ROV2" s="107"/>
      <c r="ROW2" s="107"/>
      <c r="ROX2" s="107"/>
      <c r="ROY2" s="107"/>
      <c r="ROZ2" s="107"/>
      <c r="RPA2" s="107"/>
      <c r="RPB2" s="107"/>
      <c r="RPC2" s="107"/>
      <c r="RPD2" s="107"/>
      <c r="RPE2" s="107"/>
      <c r="RPF2" s="107"/>
      <c r="RPG2" s="107"/>
      <c r="RPH2" s="107"/>
      <c r="RPI2" s="107"/>
      <c r="RPJ2" s="107"/>
      <c r="RPK2" s="107"/>
      <c r="RPL2" s="107"/>
      <c r="RPM2" s="107"/>
      <c r="RPN2" s="107"/>
      <c r="RPO2" s="107"/>
      <c r="RPP2" s="107"/>
      <c r="RPQ2" s="107"/>
      <c r="RPR2" s="107"/>
      <c r="RPS2" s="107"/>
      <c r="RPT2" s="107"/>
      <c r="RPU2" s="107"/>
      <c r="RPV2" s="107"/>
      <c r="RPW2" s="107"/>
      <c r="RPX2" s="107"/>
      <c r="RPY2" s="107"/>
      <c r="RPZ2" s="107"/>
      <c r="RQA2" s="107"/>
      <c r="RQB2" s="107"/>
      <c r="RQC2" s="107"/>
      <c r="RQD2" s="107"/>
      <c r="RQE2" s="107"/>
      <c r="RQF2" s="107"/>
      <c r="RQG2" s="107"/>
      <c r="RQH2" s="107"/>
      <c r="RQI2" s="107"/>
      <c r="RQJ2" s="107"/>
      <c r="RQK2" s="107"/>
      <c r="RQL2" s="107"/>
      <c r="RQM2" s="107"/>
      <c r="RQN2" s="107"/>
      <c r="RQO2" s="107"/>
      <c r="RQP2" s="107"/>
      <c r="RQQ2" s="107"/>
      <c r="RQR2" s="107"/>
      <c r="RQS2" s="107"/>
      <c r="RQT2" s="107"/>
      <c r="RQU2" s="107"/>
      <c r="RQV2" s="107"/>
      <c r="RQW2" s="107"/>
      <c r="RQX2" s="107"/>
      <c r="RQY2" s="107"/>
      <c r="RQZ2" s="107"/>
      <c r="RRA2" s="107"/>
      <c r="RRB2" s="107"/>
      <c r="RRC2" s="107"/>
      <c r="RRD2" s="107"/>
      <c r="RRE2" s="107"/>
      <c r="RRF2" s="107"/>
      <c r="RRG2" s="107"/>
      <c r="RRH2" s="107"/>
      <c r="RRI2" s="107"/>
      <c r="RRJ2" s="107"/>
      <c r="RRK2" s="107"/>
      <c r="RRL2" s="107"/>
      <c r="RRM2" s="107"/>
      <c r="RRN2" s="107"/>
      <c r="RRO2" s="107"/>
      <c r="RRP2" s="107"/>
      <c r="RRQ2" s="107"/>
      <c r="RRR2" s="107"/>
      <c r="RRS2" s="107"/>
      <c r="RRT2" s="107"/>
      <c r="RRU2" s="107"/>
      <c r="RRV2" s="107"/>
      <c r="RRW2" s="107"/>
      <c r="RRX2" s="107"/>
      <c r="RRY2" s="107"/>
      <c r="RRZ2" s="107"/>
      <c r="RSA2" s="107"/>
      <c r="RSB2" s="107"/>
      <c r="RSC2" s="107"/>
      <c r="RSD2" s="107"/>
      <c r="RSE2" s="107"/>
      <c r="RSF2" s="107"/>
      <c r="RSG2" s="107"/>
      <c r="RSH2" s="107"/>
      <c r="RSI2" s="107"/>
      <c r="RSJ2" s="107"/>
      <c r="RSK2" s="107"/>
      <c r="RSL2" s="107"/>
      <c r="RSM2" s="107"/>
      <c r="RSN2" s="107"/>
      <c r="RSO2" s="107"/>
      <c r="RSP2" s="107"/>
      <c r="RSQ2" s="107"/>
      <c r="RSR2" s="107"/>
      <c r="RSS2" s="107"/>
      <c r="RST2" s="107"/>
      <c r="RSU2" s="107"/>
      <c r="RSV2" s="107"/>
      <c r="RSW2" s="107"/>
      <c r="RSX2" s="107"/>
      <c r="RSY2" s="107"/>
      <c r="RSZ2" s="107"/>
      <c r="RTA2" s="107"/>
      <c r="RTB2" s="107"/>
      <c r="RTC2" s="107"/>
      <c r="RTD2" s="107"/>
      <c r="RTE2" s="107"/>
      <c r="RTF2" s="107"/>
      <c r="RTG2" s="107"/>
      <c r="RTH2" s="107"/>
      <c r="RTI2" s="107"/>
      <c r="RTJ2" s="107"/>
      <c r="RTK2" s="107"/>
      <c r="RTL2" s="107"/>
      <c r="RTM2" s="107"/>
      <c r="RTN2" s="107"/>
      <c r="RTO2" s="107"/>
      <c r="RTP2" s="107"/>
      <c r="RTQ2" s="107"/>
      <c r="RTR2" s="107"/>
      <c r="RTS2" s="107"/>
      <c r="RTT2" s="107"/>
      <c r="RTU2" s="107"/>
      <c r="RTV2" s="107"/>
      <c r="RTW2" s="107"/>
      <c r="RTX2" s="107"/>
      <c r="RTY2" s="107"/>
      <c r="RTZ2" s="107"/>
      <c r="RUA2" s="107"/>
      <c r="RUB2" s="107"/>
      <c r="RUC2" s="107"/>
      <c r="RUD2" s="107"/>
      <c r="RUE2" s="107"/>
      <c r="RUF2" s="107"/>
      <c r="RUG2" s="107"/>
      <c r="RUH2" s="107"/>
      <c r="RUI2" s="107"/>
      <c r="RUJ2" s="107"/>
      <c r="RUK2" s="107"/>
      <c r="RUL2" s="107"/>
      <c r="RUM2" s="107"/>
      <c r="RUN2" s="107"/>
      <c r="RUO2" s="107"/>
      <c r="RUP2" s="107"/>
      <c r="RUQ2" s="107"/>
      <c r="RUR2" s="107"/>
      <c r="RUS2" s="107"/>
      <c r="RUT2" s="107"/>
      <c r="RUU2" s="107"/>
      <c r="RUV2" s="107"/>
      <c r="RUW2" s="107"/>
      <c r="RUX2" s="107"/>
      <c r="RUY2" s="107"/>
      <c r="RUZ2" s="107"/>
      <c r="RVA2" s="107"/>
      <c r="RVB2" s="107"/>
      <c r="RVC2" s="107"/>
      <c r="RVD2" s="107"/>
      <c r="RVE2" s="107"/>
      <c r="RVF2" s="107"/>
      <c r="RVG2" s="107"/>
      <c r="RVH2" s="107"/>
      <c r="RVI2" s="107"/>
      <c r="RVJ2" s="107"/>
      <c r="RVK2" s="107"/>
      <c r="RVL2" s="107"/>
      <c r="RVM2" s="107"/>
      <c r="RVN2" s="107"/>
      <c r="RVO2" s="107"/>
      <c r="RVP2" s="107"/>
      <c r="RVQ2" s="107"/>
      <c r="RVR2" s="107"/>
      <c r="RVS2" s="107"/>
      <c r="RVT2" s="107"/>
      <c r="RVU2" s="107"/>
      <c r="RVV2" s="107"/>
      <c r="RVW2" s="107"/>
      <c r="RVX2" s="107"/>
      <c r="RVY2" s="107"/>
      <c r="RVZ2" s="107"/>
      <c r="RWA2" s="107"/>
      <c r="RWB2" s="107"/>
      <c r="RWC2" s="107"/>
      <c r="RWD2" s="107"/>
      <c r="RWE2" s="107"/>
      <c r="RWF2" s="107"/>
      <c r="RWG2" s="107"/>
      <c r="RWH2" s="107"/>
      <c r="RWI2" s="107"/>
      <c r="RWJ2" s="107"/>
      <c r="RWK2" s="107"/>
      <c r="RWL2" s="107"/>
      <c r="RWM2" s="107"/>
      <c r="RWN2" s="107"/>
      <c r="RWO2" s="107"/>
      <c r="RWP2" s="107"/>
      <c r="RWQ2" s="107"/>
      <c r="RWR2" s="107"/>
      <c r="RWS2" s="107"/>
      <c r="RWT2" s="107"/>
      <c r="RWU2" s="107"/>
      <c r="RWV2" s="107"/>
      <c r="RWW2" s="107"/>
      <c r="RWX2" s="107"/>
      <c r="RWY2" s="107"/>
      <c r="RWZ2" s="107"/>
      <c r="RXA2" s="107"/>
      <c r="RXB2" s="107"/>
      <c r="RXC2" s="107"/>
      <c r="RXD2" s="107"/>
      <c r="RXE2" s="107"/>
      <c r="RXF2" s="107"/>
      <c r="RXG2" s="107"/>
      <c r="RXH2" s="107"/>
      <c r="RXI2" s="107"/>
      <c r="RXJ2" s="107"/>
      <c r="RXK2" s="107"/>
      <c r="RXL2" s="107"/>
      <c r="RXM2" s="107"/>
      <c r="RXN2" s="107"/>
      <c r="RXO2" s="107"/>
      <c r="RXP2" s="107"/>
      <c r="RXQ2" s="107"/>
      <c r="RXR2" s="107"/>
      <c r="RXS2" s="107"/>
      <c r="RXT2" s="107"/>
      <c r="RXU2" s="107"/>
      <c r="RXV2" s="107"/>
      <c r="RXW2" s="107"/>
      <c r="RXX2" s="107"/>
      <c r="RXY2" s="107"/>
      <c r="RXZ2" s="107"/>
      <c r="RYA2" s="107"/>
      <c r="RYB2" s="107"/>
      <c r="RYC2" s="107"/>
      <c r="RYD2" s="107"/>
      <c r="RYE2" s="107"/>
      <c r="RYF2" s="107"/>
      <c r="RYG2" s="107"/>
      <c r="RYH2" s="107"/>
      <c r="RYI2" s="107"/>
      <c r="RYJ2" s="107"/>
      <c r="RYK2" s="107"/>
      <c r="RYL2" s="107"/>
      <c r="RYM2" s="107"/>
      <c r="RYN2" s="107"/>
      <c r="RYO2" s="107"/>
      <c r="RYP2" s="107"/>
      <c r="RYQ2" s="107"/>
      <c r="RYR2" s="107"/>
      <c r="RYS2" s="107"/>
      <c r="RYT2" s="107"/>
      <c r="RYU2" s="107"/>
      <c r="RYV2" s="107"/>
      <c r="RYW2" s="107"/>
      <c r="RYX2" s="107"/>
      <c r="RYY2" s="107"/>
      <c r="RYZ2" s="107"/>
      <c r="RZA2" s="107"/>
      <c r="RZB2" s="107"/>
      <c r="RZC2" s="107"/>
      <c r="RZD2" s="107"/>
      <c r="RZE2" s="107"/>
      <c r="RZF2" s="107"/>
      <c r="RZG2" s="107"/>
      <c r="RZH2" s="107"/>
      <c r="RZI2" s="107"/>
      <c r="RZJ2" s="107"/>
      <c r="RZK2" s="107"/>
      <c r="RZL2" s="107"/>
      <c r="RZM2" s="107"/>
      <c r="RZN2" s="107"/>
      <c r="RZO2" s="107"/>
      <c r="RZP2" s="107"/>
      <c r="RZQ2" s="107"/>
      <c r="RZR2" s="107"/>
      <c r="RZS2" s="107"/>
      <c r="RZT2" s="107"/>
      <c r="RZU2" s="107"/>
      <c r="RZV2" s="107"/>
      <c r="RZW2" s="107"/>
      <c r="RZX2" s="107"/>
      <c r="RZY2" s="107"/>
      <c r="RZZ2" s="107"/>
      <c r="SAA2" s="107"/>
      <c r="SAB2" s="107"/>
      <c r="SAC2" s="107"/>
      <c r="SAD2" s="107"/>
      <c r="SAE2" s="107"/>
      <c r="SAF2" s="107"/>
      <c r="SAG2" s="107"/>
      <c r="SAH2" s="107"/>
      <c r="SAI2" s="107"/>
      <c r="SAJ2" s="107"/>
      <c r="SAK2" s="107"/>
      <c r="SAL2" s="107"/>
      <c r="SAM2" s="107"/>
      <c r="SAN2" s="107"/>
      <c r="SAO2" s="107"/>
      <c r="SAP2" s="107"/>
      <c r="SAQ2" s="107"/>
      <c r="SAR2" s="107"/>
      <c r="SAS2" s="107"/>
      <c r="SAT2" s="107"/>
      <c r="SAU2" s="107"/>
      <c r="SAV2" s="107"/>
      <c r="SAW2" s="107"/>
      <c r="SAX2" s="107"/>
      <c r="SAY2" s="107"/>
      <c r="SAZ2" s="107"/>
      <c r="SBA2" s="107"/>
      <c r="SBB2" s="107"/>
      <c r="SBC2" s="107"/>
      <c r="SBD2" s="107"/>
      <c r="SBE2" s="107"/>
      <c r="SBF2" s="107"/>
      <c r="SBG2" s="107"/>
      <c r="SBH2" s="107"/>
      <c r="SBI2" s="107"/>
      <c r="SBJ2" s="107"/>
      <c r="SBK2" s="107"/>
      <c r="SBL2" s="107"/>
      <c r="SBM2" s="107"/>
      <c r="SBN2" s="107"/>
      <c r="SBO2" s="107"/>
      <c r="SBP2" s="107"/>
      <c r="SBQ2" s="107"/>
      <c r="SBR2" s="107"/>
      <c r="SBS2" s="107"/>
      <c r="SBT2" s="107"/>
      <c r="SBU2" s="107"/>
      <c r="SBV2" s="107"/>
      <c r="SBW2" s="107"/>
      <c r="SBX2" s="107"/>
      <c r="SBY2" s="107"/>
      <c r="SBZ2" s="107"/>
      <c r="SCA2" s="107"/>
      <c r="SCB2" s="107"/>
      <c r="SCC2" s="107"/>
      <c r="SCD2" s="107"/>
      <c r="SCE2" s="107"/>
      <c r="SCF2" s="107"/>
      <c r="SCG2" s="107"/>
      <c r="SCH2" s="107"/>
      <c r="SCI2" s="107"/>
      <c r="SCJ2" s="107"/>
      <c r="SCK2" s="107"/>
      <c r="SCL2" s="107"/>
      <c r="SCM2" s="107"/>
      <c r="SCN2" s="107"/>
      <c r="SCO2" s="107"/>
      <c r="SCP2" s="107"/>
      <c r="SCQ2" s="107"/>
      <c r="SCR2" s="107"/>
      <c r="SCS2" s="107"/>
      <c r="SCT2" s="107"/>
      <c r="SCU2" s="107"/>
      <c r="SCV2" s="107"/>
      <c r="SCW2" s="107"/>
      <c r="SCX2" s="107"/>
      <c r="SCY2" s="107"/>
      <c r="SCZ2" s="107"/>
      <c r="SDA2" s="107"/>
      <c r="SDB2" s="107"/>
      <c r="SDC2" s="107"/>
      <c r="SDD2" s="107"/>
      <c r="SDE2" s="107"/>
      <c r="SDF2" s="107"/>
      <c r="SDG2" s="107"/>
      <c r="SDH2" s="107"/>
      <c r="SDI2" s="107"/>
      <c r="SDJ2" s="107"/>
      <c r="SDK2" s="107"/>
      <c r="SDL2" s="107"/>
      <c r="SDM2" s="107"/>
      <c r="SDN2" s="107"/>
      <c r="SDO2" s="107"/>
      <c r="SDP2" s="107"/>
      <c r="SDQ2" s="107"/>
      <c r="SDR2" s="107"/>
      <c r="SDS2" s="107"/>
      <c r="SDT2" s="107"/>
      <c r="SDU2" s="107"/>
      <c r="SDV2" s="107"/>
      <c r="SDW2" s="107"/>
      <c r="SDX2" s="107"/>
      <c r="SDY2" s="107"/>
      <c r="SDZ2" s="107"/>
      <c r="SEA2" s="107"/>
      <c r="SEB2" s="107"/>
      <c r="SEC2" s="107"/>
      <c r="SED2" s="107"/>
      <c r="SEE2" s="107"/>
      <c r="SEF2" s="107"/>
      <c r="SEG2" s="107"/>
      <c r="SEH2" s="107"/>
      <c r="SEI2" s="107"/>
      <c r="SEJ2" s="107"/>
      <c r="SEK2" s="107"/>
      <c r="SEL2" s="107"/>
      <c r="SEM2" s="107"/>
      <c r="SEN2" s="107"/>
      <c r="SEO2" s="107"/>
      <c r="SEP2" s="107"/>
      <c r="SEQ2" s="107"/>
      <c r="SER2" s="107"/>
      <c r="SES2" s="107"/>
      <c r="SET2" s="107"/>
      <c r="SEU2" s="107"/>
      <c r="SEV2" s="107"/>
      <c r="SEW2" s="107"/>
      <c r="SEX2" s="107"/>
      <c r="SEY2" s="107"/>
      <c r="SEZ2" s="107"/>
      <c r="SFA2" s="107"/>
      <c r="SFB2" s="107"/>
      <c r="SFC2" s="107"/>
      <c r="SFD2" s="107"/>
      <c r="SFE2" s="107"/>
      <c r="SFF2" s="107"/>
      <c r="SFG2" s="107"/>
      <c r="SFH2" s="107"/>
      <c r="SFI2" s="107"/>
      <c r="SFJ2" s="107"/>
      <c r="SFK2" s="107"/>
      <c r="SFL2" s="107"/>
      <c r="SFM2" s="107"/>
      <c r="SFN2" s="107"/>
      <c r="SFO2" s="107"/>
      <c r="SFP2" s="107"/>
      <c r="SFQ2" s="107"/>
      <c r="SFR2" s="107"/>
      <c r="SFS2" s="107"/>
      <c r="SFT2" s="107"/>
      <c r="SFU2" s="107"/>
      <c r="SFV2" s="107"/>
      <c r="SFW2" s="107"/>
      <c r="SFX2" s="107"/>
      <c r="SFY2" s="107"/>
      <c r="SFZ2" s="107"/>
      <c r="SGA2" s="107"/>
      <c r="SGB2" s="107"/>
      <c r="SGC2" s="107"/>
      <c r="SGD2" s="107"/>
      <c r="SGE2" s="107"/>
      <c r="SGF2" s="107"/>
      <c r="SGG2" s="107"/>
      <c r="SGH2" s="107"/>
      <c r="SGI2" s="107"/>
      <c r="SGJ2" s="107"/>
      <c r="SGK2" s="107"/>
      <c r="SGL2" s="107"/>
      <c r="SGM2" s="107"/>
      <c r="SGN2" s="107"/>
      <c r="SGO2" s="107"/>
      <c r="SGP2" s="107"/>
      <c r="SGQ2" s="107"/>
      <c r="SGR2" s="107"/>
      <c r="SGS2" s="107"/>
      <c r="SGT2" s="107"/>
      <c r="SGU2" s="107"/>
      <c r="SGV2" s="107"/>
      <c r="SGW2" s="107"/>
      <c r="SGX2" s="107"/>
      <c r="SGY2" s="107"/>
      <c r="SGZ2" s="107"/>
      <c r="SHA2" s="107"/>
      <c r="SHB2" s="107"/>
      <c r="SHC2" s="107"/>
      <c r="SHD2" s="107"/>
      <c r="SHE2" s="107"/>
      <c r="SHF2" s="107"/>
      <c r="SHG2" s="107"/>
      <c r="SHH2" s="107"/>
      <c r="SHI2" s="107"/>
      <c r="SHJ2" s="107"/>
      <c r="SHK2" s="107"/>
      <c r="SHL2" s="107"/>
      <c r="SHM2" s="107"/>
      <c r="SHN2" s="107"/>
      <c r="SHO2" s="107"/>
      <c r="SHP2" s="107"/>
      <c r="SHQ2" s="107"/>
      <c r="SHR2" s="107"/>
      <c r="SHS2" s="107"/>
      <c r="SHT2" s="107"/>
      <c r="SHU2" s="107"/>
      <c r="SHV2" s="107"/>
      <c r="SHW2" s="107"/>
      <c r="SHX2" s="107"/>
      <c r="SHY2" s="107"/>
      <c r="SHZ2" s="107"/>
      <c r="SIA2" s="107"/>
      <c r="SIB2" s="107"/>
      <c r="SIC2" s="107"/>
      <c r="SID2" s="107"/>
      <c r="SIE2" s="107"/>
      <c r="SIF2" s="107"/>
      <c r="SIG2" s="107"/>
      <c r="SIH2" s="107"/>
      <c r="SII2" s="107"/>
      <c r="SIJ2" s="107"/>
      <c r="SIK2" s="107"/>
      <c r="SIL2" s="107"/>
      <c r="SIM2" s="107"/>
      <c r="SIN2" s="107"/>
      <c r="SIO2" s="107"/>
      <c r="SIP2" s="107"/>
      <c r="SIQ2" s="107"/>
      <c r="SIR2" s="107"/>
      <c r="SIS2" s="107"/>
      <c r="SIT2" s="107"/>
      <c r="SIU2" s="107"/>
      <c r="SIV2" s="107"/>
      <c r="SIW2" s="107"/>
      <c r="SIX2" s="107"/>
      <c r="SIY2" s="107"/>
      <c r="SIZ2" s="107"/>
      <c r="SJA2" s="107"/>
      <c r="SJB2" s="107"/>
      <c r="SJC2" s="107"/>
      <c r="SJD2" s="107"/>
      <c r="SJE2" s="107"/>
      <c r="SJF2" s="107"/>
      <c r="SJG2" s="107"/>
      <c r="SJH2" s="107"/>
      <c r="SJI2" s="107"/>
      <c r="SJJ2" s="107"/>
      <c r="SJK2" s="107"/>
      <c r="SJL2" s="107"/>
      <c r="SJM2" s="107"/>
      <c r="SJN2" s="107"/>
      <c r="SJO2" s="107"/>
      <c r="SJP2" s="107"/>
      <c r="SJQ2" s="107"/>
      <c r="SJR2" s="107"/>
      <c r="SJS2" s="107"/>
      <c r="SJT2" s="107"/>
      <c r="SJU2" s="107"/>
      <c r="SJV2" s="107"/>
      <c r="SJW2" s="107"/>
      <c r="SJX2" s="107"/>
      <c r="SJY2" s="107"/>
      <c r="SJZ2" s="107"/>
      <c r="SKA2" s="107"/>
      <c r="SKB2" s="107"/>
      <c r="SKC2" s="107"/>
      <c r="SKD2" s="107"/>
      <c r="SKE2" s="107"/>
      <c r="SKF2" s="107"/>
      <c r="SKG2" s="107"/>
      <c r="SKH2" s="107"/>
      <c r="SKI2" s="107"/>
      <c r="SKJ2" s="107"/>
      <c r="SKK2" s="107"/>
      <c r="SKL2" s="107"/>
      <c r="SKM2" s="107"/>
      <c r="SKN2" s="107"/>
      <c r="SKO2" s="107"/>
      <c r="SKP2" s="107"/>
      <c r="SKQ2" s="107"/>
      <c r="SKR2" s="107"/>
      <c r="SKS2" s="107"/>
      <c r="SKT2" s="107"/>
      <c r="SKU2" s="107"/>
      <c r="SKV2" s="107"/>
      <c r="SKW2" s="107"/>
      <c r="SKX2" s="107"/>
      <c r="SKY2" s="107"/>
      <c r="SKZ2" s="107"/>
      <c r="SLA2" s="107"/>
      <c r="SLB2" s="107"/>
      <c r="SLC2" s="107"/>
      <c r="SLD2" s="107"/>
      <c r="SLE2" s="107"/>
      <c r="SLF2" s="107"/>
      <c r="SLG2" s="107"/>
      <c r="SLH2" s="107"/>
      <c r="SLI2" s="107"/>
      <c r="SLJ2" s="107"/>
      <c r="SLK2" s="107"/>
      <c r="SLL2" s="107"/>
      <c r="SLM2" s="107"/>
      <c r="SLN2" s="107"/>
      <c r="SLO2" s="107"/>
      <c r="SLP2" s="107"/>
      <c r="SLQ2" s="107"/>
      <c r="SLR2" s="107"/>
      <c r="SLS2" s="107"/>
      <c r="SLT2" s="107"/>
      <c r="SLU2" s="107"/>
      <c r="SLV2" s="107"/>
      <c r="SLW2" s="107"/>
      <c r="SLX2" s="107"/>
      <c r="SLY2" s="107"/>
      <c r="SLZ2" s="107"/>
      <c r="SMA2" s="107"/>
      <c r="SMB2" s="107"/>
      <c r="SMC2" s="107"/>
      <c r="SMD2" s="107"/>
      <c r="SME2" s="107"/>
      <c r="SMF2" s="107"/>
      <c r="SMG2" s="107"/>
      <c r="SMH2" s="107"/>
      <c r="SMI2" s="107"/>
      <c r="SMJ2" s="107"/>
      <c r="SMK2" s="107"/>
      <c r="SML2" s="107"/>
      <c r="SMM2" s="107"/>
      <c r="SMN2" s="107"/>
      <c r="SMO2" s="107"/>
      <c r="SMP2" s="107"/>
      <c r="SMQ2" s="107"/>
      <c r="SMR2" s="107"/>
      <c r="SMS2" s="107"/>
      <c r="SMT2" s="107"/>
      <c r="SMU2" s="107"/>
      <c r="SMV2" s="107"/>
      <c r="SMW2" s="107"/>
      <c r="SMX2" s="107"/>
      <c r="SMY2" s="107"/>
      <c r="SMZ2" s="107"/>
      <c r="SNA2" s="107"/>
      <c r="SNB2" s="107"/>
      <c r="SNC2" s="107"/>
      <c r="SND2" s="107"/>
      <c r="SNE2" s="107"/>
      <c r="SNF2" s="107"/>
      <c r="SNG2" s="107"/>
      <c r="SNH2" s="107"/>
      <c r="SNI2" s="107"/>
      <c r="SNJ2" s="107"/>
      <c r="SNK2" s="107"/>
      <c r="SNL2" s="107"/>
      <c r="SNM2" s="107"/>
      <c r="SNN2" s="107"/>
      <c r="SNO2" s="107"/>
      <c r="SNP2" s="107"/>
      <c r="SNQ2" s="107"/>
      <c r="SNR2" s="107"/>
      <c r="SNS2" s="107"/>
      <c r="SNT2" s="107"/>
      <c r="SNU2" s="107"/>
      <c r="SNV2" s="107"/>
      <c r="SNW2" s="107"/>
      <c r="SNX2" s="107"/>
      <c r="SNY2" s="107"/>
      <c r="SNZ2" s="107"/>
      <c r="SOA2" s="107"/>
      <c r="SOB2" s="107"/>
      <c r="SOC2" s="107"/>
      <c r="SOD2" s="107"/>
      <c r="SOE2" s="107"/>
      <c r="SOF2" s="107"/>
      <c r="SOG2" s="107"/>
      <c r="SOH2" s="107"/>
      <c r="SOI2" s="107"/>
      <c r="SOJ2" s="107"/>
      <c r="SOK2" s="107"/>
      <c r="SOL2" s="107"/>
      <c r="SOM2" s="107"/>
      <c r="SON2" s="107"/>
      <c r="SOO2" s="107"/>
      <c r="SOP2" s="107"/>
      <c r="SOQ2" s="107"/>
      <c r="SOR2" s="107"/>
      <c r="SOS2" s="107"/>
      <c r="SOT2" s="107"/>
      <c r="SOU2" s="107"/>
      <c r="SOV2" s="107"/>
      <c r="SOW2" s="107"/>
      <c r="SOX2" s="107"/>
      <c r="SOY2" s="107"/>
      <c r="SOZ2" s="107"/>
      <c r="SPA2" s="107"/>
      <c r="SPB2" s="107"/>
      <c r="SPC2" s="107"/>
      <c r="SPD2" s="107"/>
      <c r="SPE2" s="107"/>
      <c r="SPF2" s="107"/>
      <c r="SPG2" s="107"/>
      <c r="SPH2" s="107"/>
      <c r="SPI2" s="107"/>
      <c r="SPJ2" s="107"/>
      <c r="SPK2" s="107"/>
      <c r="SPL2" s="107"/>
      <c r="SPM2" s="107"/>
      <c r="SPN2" s="107"/>
      <c r="SPO2" s="107"/>
      <c r="SPP2" s="107"/>
      <c r="SPQ2" s="107"/>
      <c r="SPR2" s="107"/>
      <c r="SPS2" s="107"/>
      <c r="SPT2" s="107"/>
      <c r="SPU2" s="107"/>
      <c r="SPV2" s="107"/>
      <c r="SPW2" s="107"/>
      <c r="SPX2" s="107"/>
      <c r="SPY2" s="107"/>
      <c r="SPZ2" s="107"/>
      <c r="SQA2" s="107"/>
      <c r="SQB2" s="107"/>
      <c r="SQC2" s="107"/>
      <c r="SQD2" s="107"/>
      <c r="SQE2" s="107"/>
      <c r="SQF2" s="107"/>
      <c r="SQG2" s="107"/>
      <c r="SQH2" s="107"/>
      <c r="SQI2" s="107"/>
      <c r="SQJ2" s="107"/>
      <c r="SQK2" s="107"/>
      <c r="SQL2" s="107"/>
      <c r="SQM2" s="107"/>
      <c r="SQN2" s="107"/>
      <c r="SQO2" s="107"/>
      <c r="SQP2" s="107"/>
      <c r="SQQ2" s="107"/>
      <c r="SQR2" s="107"/>
      <c r="SQS2" s="107"/>
      <c r="SQT2" s="107"/>
      <c r="SQU2" s="107"/>
      <c r="SQV2" s="107"/>
      <c r="SQW2" s="107"/>
      <c r="SQX2" s="107"/>
      <c r="SQY2" s="107"/>
      <c r="SQZ2" s="107"/>
      <c r="SRA2" s="107"/>
      <c r="SRB2" s="107"/>
      <c r="SRC2" s="107"/>
      <c r="SRD2" s="107"/>
      <c r="SRE2" s="107"/>
      <c r="SRF2" s="107"/>
      <c r="SRG2" s="107"/>
      <c r="SRH2" s="107"/>
      <c r="SRI2" s="107"/>
      <c r="SRJ2" s="107"/>
      <c r="SRK2" s="107"/>
      <c r="SRL2" s="107"/>
      <c r="SRM2" s="107"/>
      <c r="SRN2" s="107"/>
      <c r="SRO2" s="107"/>
      <c r="SRP2" s="107"/>
      <c r="SRQ2" s="107"/>
      <c r="SRR2" s="107"/>
      <c r="SRS2" s="107"/>
      <c r="SRT2" s="107"/>
      <c r="SRU2" s="107"/>
      <c r="SRV2" s="107"/>
      <c r="SRW2" s="107"/>
      <c r="SRX2" s="107"/>
      <c r="SRY2" s="107"/>
      <c r="SRZ2" s="107"/>
      <c r="SSA2" s="107"/>
      <c r="SSB2" s="107"/>
      <c r="SSC2" s="107"/>
      <c r="SSD2" s="107"/>
      <c r="SSE2" s="107"/>
      <c r="SSF2" s="107"/>
      <c r="SSG2" s="107"/>
      <c r="SSH2" s="107"/>
      <c r="SSI2" s="107"/>
      <c r="SSJ2" s="107"/>
      <c r="SSK2" s="107"/>
      <c r="SSL2" s="107"/>
      <c r="SSM2" s="107"/>
      <c r="SSN2" s="107"/>
      <c r="SSO2" s="107"/>
      <c r="SSP2" s="107"/>
      <c r="SSQ2" s="107"/>
      <c r="SSR2" s="107"/>
      <c r="SSS2" s="107"/>
      <c r="SST2" s="107"/>
      <c r="SSU2" s="107"/>
      <c r="SSV2" s="107"/>
      <c r="SSW2" s="107"/>
      <c r="SSX2" s="107"/>
      <c r="SSY2" s="107"/>
      <c r="SSZ2" s="107"/>
      <c r="STA2" s="107"/>
      <c r="STB2" s="107"/>
      <c r="STC2" s="107"/>
      <c r="STD2" s="107"/>
      <c r="STE2" s="107"/>
      <c r="STF2" s="107"/>
      <c r="STG2" s="107"/>
      <c r="STH2" s="107"/>
      <c r="STI2" s="107"/>
      <c r="STJ2" s="107"/>
      <c r="STK2" s="107"/>
      <c r="STL2" s="107"/>
      <c r="STM2" s="107"/>
      <c r="STN2" s="107"/>
      <c r="STO2" s="107"/>
      <c r="STP2" s="107"/>
      <c r="STQ2" s="107"/>
      <c r="STR2" s="107"/>
      <c r="STS2" s="107"/>
      <c r="STT2" s="107"/>
      <c r="STU2" s="107"/>
      <c r="STV2" s="107"/>
      <c r="STW2" s="107"/>
      <c r="STX2" s="107"/>
      <c r="STY2" s="107"/>
      <c r="STZ2" s="107"/>
      <c r="SUA2" s="107"/>
      <c r="SUB2" s="107"/>
      <c r="SUC2" s="107"/>
      <c r="SUD2" s="107"/>
      <c r="SUE2" s="107"/>
      <c r="SUF2" s="107"/>
      <c r="SUG2" s="107"/>
      <c r="SUH2" s="107"/>
      <c r="SUI2" s="107"/>
      <c r="SUJ2" s="107"/>
      <c r="SUK2" s="107"/>
      <c r="SUL2" s="107"/>
      <c r="SUM2" s="107"/>
      <c r="SUN2" s="107"/>
      <c r="SUO2" s="107"/>
      <c r="SUP2" s="107"/>
      <c r="SUQ2" s="107"/>
      <c r="SUR2" s="107"/>
      <c r="SUS2" s="107"/>
      <c r="SUT2" s="107"/>
      <c r="SUU2" s="107"/>
      <c r="SUV2" s="107"/>
      <c r="SUW2" s="107"/>
      <c r="SUX2" s="107"/>
      <c r="SUY2" s="107"/>
      <c r="SUZ2" s="107"/>
      <c r="SVA2" s="107"/>
      <c r="SVB2" s="107"/>
      <c r="SVC2" s="107"/>
      <c r="SVD2" s="107"/>
      <c r="SVE2" s="107"/>
      <c r="SVF2" s="107"/>
      <c r="SVG2" s="107"/>
      <c r="SVH2" s="107"/>
      <c r="SVI2" s="107"/>
      <c r="SVJ2" s="107"/>
      <c r="SVK2" s="107"/>
      <c r="SVL2" s="107"/>
      <c r="SVM2" s="107"/>
      <c r="SVN2" s="107"/>
      <c r="SVO2" s="107"/>
      <c r="SVP2" s="107"/>
      <c r="SVQ2" s="107"/>
      <c r="SVR2" s="107"/>
      <c r="SVS2" s="107"/>
      <c r="SVT2" s="107"/>
      <c r="SVU2" s="107"/>
      <c r="SVV2" s="107"/>
      <c r="SVW2" s="107"/>
      <c r="SVX2" s="107"/>
      <c r="SVY2" s="107"/>
      <c r="SVZ2" s="107"/>
      <c r="SWA2" s="107"/>
      <c r="SWB2" s="107"/>
      <c r="SWC2" s="107"/>
      <c r="SWD2" s="107"/>
      <c r="SWE2" s="107"/>
      <c r="SWF2" s="107"/>
      <c r="SWG2" s="107"/>
      <c r="SWH2" s="107"/>
      <c r="SWI2" s="107"/>
      <c r="SWJ2" s="107"/>
      <c r="SWK2" s="107"/>
      <c r="SWL2" s="107"/>
      <c r="SWM2" s="107"/>
      <c r="SWN2" s="107"/>
      <c r="SWO2" s="107"/>
      <c r="SWP2" s="107"/>
      <c r="SWQ2" s="107"/>
      <c r="SWR2" s="107"/>
      <c r="SWS2" s="107"/>
      <c r="SWT2" s="107"/>
      <c r="SWU2" s="107"/>
      <c r="SWV2" s="107"/>
      <c r="SWW2" s="107"/>
      <c r="SWX2" s="107"/>
      <c r="SWY2" s="107"/>
      <c r="SWZ2" s="107"/>
      <c r="SXA2" s="107"/>
      <c r="SXB2" s="107"/>
      <c r="SXC2" s="107"/>
      <c r="SXD2" s="107"/>
      <c r="SXE2" s="107"/>
      <c r="SXF2" s="107"/>
      <c r="SXG2" s="107"/>
      <c r="SXH2" s="107"/>
      <c r="SXI2" s="107"/>
      <c r="SXJ2" s="107"/>
      <c r="SXK2" s="107"/>
      <c r="SXL2" s="107"/>
      <c r="SXM2" s="107"/>
      <c r="SXN2" s="107"/>
      <c r="SXO2" s="107"/>
      <c r="SXP2" s="107"/>
      <c r="SXQ2" s="107"/>
      <c r="SXR2" s="107"/>
      <c r="SXS2" s="107"/>
      <c r="SXT2" s="107"/>
      <c r="SXU2" s="107"/>
      <c r="SXV2" s="107"/>
      <c r="SXW2" s="107"/>
      <c r="SXX2" s="107"/>
      <c r="SXY2" s="107"/>
      <c r="SXZ2" s="107"/>
      <c r="SYA2" s="107"/>
      <c r="SYB2" s="107"/>
      <c r="SYC2" s="107"/>
      <c r="SYD2" s="107"/>
      <c r="SYE2" s="107"/>
      <c r="SYF2" s="107"/>
      <c r="SYG2" s="107"/>
      <c r="SYH2" s="107"/>
      <c r="SYI2" s="107"/>
      <c r="SYJ2" s="107"/>
      <c r="SYK2" s="107"/>
      <c r="SYL2" s="107"/>
      <c r="SYM2" s="107"/>
      <c r="SYN2" s="107"/>
      <c r="SYO2" s="107"/>
      <c r="SYP2" s="107"/>
      <c r="SYQ2" s="107"/>
      <c r="SYR2" s="107"/>
      <c r="SYS2" s="107"/>
      <c r="SYT2" s="107"/>
      <c r="SYU2" s="107"/>
      <c r="SYV2" s="107"/>
      <c r="SYW2" s="107"/>
      <c r="SYX2" s="107"/>
      <c r="SYY2" s="107"/>
      <c r="SYZ2" s="107"/>
      <c r="SZA2" s="107"/>
      <c r="SZB2" s="107"/>
      <c r="SZC2" s="107"/>
      <c r="SZD2" s="107"/>
      <c r="SZE2" s="107"/>
      <c r="SZF2" s="107"/>
      <c r="SZG2" s="107"/>
      <c r="SZH2" s="107"/>
      <c r="SZI2" s="107"/>
      <c r="SZJ2" s="107"/>
      <c r="SZK2" s="107"/>
      <c r="SZL2" s="107"/>
      <c r="SZM2" s="107"/>
      <c r="SZN2" s="107"/>
      <c r="SZO2" s="107"/>
      <c r="SZP2" s="107"/>
      <c r="SZQ2" s="107"/>
      <c r="SZR2" s="107"/>
      <c r="SZS2" s="107"/>
      <c r="SZT2" s="107"/>
      <c r="SZU2" s="107"/>
      <c r="SZV2" s="107"/>
      <c r="SZW2" s="107"/>
      <c r="SZX2" s="107"/>
      <c r="SZY2" s="107"/>
      <c r="SZZ2" s="107"/>
      <c r="TAA2" s="107"/>
      <c r="TAB2" s="107"/>
      <c r="TAC2" s="107"/>
      <c r="TAD2" s="107"/>
      <c r="TAE2" s="107"/>
      <c r="TAF2" s="107"/>
      <c r="TAG2" s="107"/>
      <c r="TAH2" s="107"/>
      <c r="TAI2" s="107"/>
      <c r="TAJ2" s="107"/>
      <c r="TAK2" s="107"/>
      <c r="TAL2" s="107"/>
      <c r="TAM2" s="107"/>
      <c r="TAN2" s="107"/>
      <c r="TAO2" s="107"/>
      <c r="TAP2" s="107"/>
      <c r="TAQ2" s="107"/>
      <c r="TAR2" s="107"/>
      <c r="TAS2" s="107"/>
      <c r="TAT2" s="107"/>
      <c r="TAU2" s="107"/>
      <c r="TAV2" s="107"/>
      <c r="TAW2" s="107"/>
      <c r="TAX2" s="107"/>
      <c r="TAY2" s="107"/>
      <c r="TAZ2" s="107"/>
      <c r="TBA2" s="107"/>
      <c r="TBB2" s="107"/>
      <c r="TBC2" s="107"/>
      <c r="TBD2" s="107"/>
      <c r="TBE2" s="107"/>
      <c r="TBF2" s="107"/>
      <c r="TBG2" s="107"/>
      <c r="TBH2" s="107"/>
      <c r="TBI2" s="107"/>
      <c r="TBJ2" s="107"/>
      <c r="TBK2" s="107"/>
      <c r="TBL2" s="107"/>
      <c r="TBM2" s="107"/>
      <c r="TBN2" s="107"/>
      <c r="TBO2" s="107"/>
      <c r="TBP2" s="107"/>
      <c r="TBQ2" s="107"/>
      <c r="TBR2" s="107"/>
      <c r="TBS2" s="107"/>
      <c r="TBT2" s="107"/>
      <c r="TBU2" s="107"/>
      <c r="TBV2" s="107"/>
      <c r="TBW2" s="107"/>
      <c r="TBX2" s="107"/>
      <c r="TBY2" s="107"/>
      <c r="TBZ2" s="107"/>
      <c r="TCA2" s="107"/>
      <c r="TCB2" s="107"/>
      <c r="TCC2" s="107"/>
      <c r="TCD2" s="107"/>
      <c r="TCE2" s="107"/>
      <c r="TCF2" s="107"/>
      <c r="TCG2" s="107"/>
      <c r="TCH2" s="107"/>
      <c r="TCI2" s="107"/>
      <c r="TCJ2" s="107"/>
      <c r="TCK2" s="107"/>
      <c r="TCL2" s="107"/>
      <c r="TCM2" s="107"/>
      <c r="TCN2" s="107"/>
      <c r="TCO2" s="107"/>
      <c r="TCP2" s="107"/>
      <c r="TCQ2" s="107"/>
      <c r="TCR2" s="107"/>
      <c r="TCS2" s="107"/>
      <c r="TCT2" s="107"/>
      <c r="TCU2" s="107"/>
      <c r="TCV2" s="107"/>
      <c r="TCW2" s="107"/>
      <c r="TCX2" s="107"/>
      <c r="TCY2" s="107"/>
      <c r="TCZ2" s="107"/>
      <c r="TDA2" s="107"/>
      <c r="TDB2" s="107"/>
      <c r="TDC2" s="107"/>
      <c r="TDD2" s="107"/>
      <c r="TDE2" s="107"/>
      <c r="TDF2" s="107"/>
      <c r="TDG2" s="107"/>
      <c r="TDH2" s="107"/>
      <c r="TDI2" s="107"/>
      <c r="TDJ2" s="107"/>
      <c r="TDK2" s="107"/>
      <c r="TDL2" s="107"/>
      <c r="TDM2" s="107"/>
      <c r="TDN2" s="107"/>
      <c r="TDO2" s="107"/>
      <c r="TDP2" s="107"/>
      <c r="TDQ2" s="107"/>
      <c r="TDR2" s="107"/>
      <c r="TDS2" s="107"/>
      <c r="TDT2" s="107"/>
      <c r="TDU2" s="107"/>
      <c r="TDV2" s="107"/>
      <c r="TDW2" s="107"/>
      <c r="TDX2" s="107"/>
      <c r="TDY2" s="107"/>
      <c r="TDZ2" s="107"/>
      <c r="TEA2" s="107"/>
      <c r="TEB2" s="107"/>
      <c r="TEC2" s="107"/>
      <c r="TED2" s="107"/>
      <c r="TEE2" s="107"/>
      <c r="TEF2" s="107"/>
      <c r="TEG2" s="107"/>
      <c r="TEH2" s="107"/>
      <c r="TEI2" s="107"/>
      <c r="TEJ2" s="107"/>
      <c r="TEK2" s="107"/>
      <c r="TEL2" s="107"/>
      <c r="TEM2" s="107"/>
      <c r="TEN2" s="107"/>
      <c r="TEO2" s="107"/>
      <c r="TEP2" s="107"/>
      <c r="TEQ2" s="107"/>
      <c r="TER2" s="107"/>
      <c r="TES2" s="107"/>
      <c r="TET2" s="107"/>
      <c r="TEU2" s="107"/>
      <c r="TEV2" s="107"/>
      <c r="TEW2" s="107"/>
      <c r="TEX2" s="107"/>
      <c r="TEY2" s="107"/>
      <c r="TEZ2" s="107"/>
      <c r="TFA2" s="107"/>
      <c r="TFB2" s="107"/>
      <c r="TFC2" s="107"/>
      <c r="TFD2" s="107"/>
      <c r="TFE2" s="107"/>
      <c r="TFF2" s="107"/>
      <c r="TFG2" s="107"/>
      <c r="TFH2" s="107"/>
      <c r="TFI2" s="107"/>
      <c r="TFJ2" s="107"/>
      <c r="TFK2" s="107"/>
      <c r="TFL2" s="107"/>
      <c r="TFM2" s="107"/>
      <c r="TFN2" s="107"/>
      <c r="TFO2" s="107"/>
      <c r="TFP2" s="107"/>
      <c r="TFQ2" s="107"/>
      <c r="TFR2" s="107"/>
      <c r="TFS2" s="107"/>
      <c r="TFT2" s="107"/>
      <c r="TFU2" s="107"/>
      <c r="TFV2" s="107"/>
      <c r="TFW2" s="107"/>
      <c r="TFX2" s="107"/>
      <c r="TFY2" s="107"/>
      <c r="TFZ2" s="107"/>
      <c r="TGA2" s="107"/>
      <c r="TGB2" s="107"/>
      <c r="TGC2" s="107"/>
      <c r="TGD2" s="107"/>
      <c r="TGE2" s="107"/>
      <c r="TGF2" s="107"/>
      <c r="TGG2" s="107"/>
      <c r="TGH2" s="107"/>
      <c r="TGI2" s="107"/>
      <c r="TGJ2" s="107"/>
      <c r="TGK2" s="107"/>
      <c r="TGL2" s="107"/>
      <c r="TGM2" s="107"/>
      <c r="TGN2" s="107"/>
      <c r="TGO2" s="107"/>
      <c r="TGP2" s="107"/>
      <c r="TGQ2" s="107"/>
      <c r="TGR2" s="107"/>
      <c r="TGS2" s="107"/>
      <c r="TGT2" s="107"/>
      <c r="TGU2" s="107"/>
      <c r="TGV2" s="107"/>
      <c r="TGW2" s="107"/>
      <c r="TGX2" s="107"/>
      <c r="TGY2" s="107"/>
      <c r="TGZ2" s="107"/>
      <c r="THA2" s="107"/>
      <c r="THB2" s="107"/>
      <c r="THC2" s="107"/>
      <c r="THD2" s="107"/>
      <c r="THE2" s="107"/>
      <c r="THF2" s="107"/>
      <c r="THG2" s="107"/>
      <c r="THH2" s="107"/>
      <c r="THI2" s="107"/>
      <c r="THJ2" s="107"/>
      <c r="THK2" s="107"/>
      <c r="THL2" s="107"/>
      <c r="THM2" s="107"/>
      <c r="THN2" s="107"/>
      <c r="THO2" s="107"/>
      <c r="THP2" s="107"/>
      <c r="THQ2" s="107"/>
      <c r="THR2" s="107"/>
      <c r="THS2" s="107"/>
      <c r="THT2" s="107"/>
      <c r="THU2" s="107"/>
      <c r="THV2" s="107"/>
      <c r="THW2" s="107"/>
      <c r="THX2" s="107"/>
      <c r="THY2" s="107"/>
      <c r="THZ2" s="107"/>
      <c r="TIA2" s="107"/>
      <c r="TIB2" s="107"/>
      <c r="TIC2" s="107"/>
      <c r="TID2" s="107"/>
      <c r="TIE2" s="107"/>
      <c r="TIF2" s="107"/>
      <c r="TIG2" s="107"/>
      <c r="TIH2" s="107"/>
      <c r="TII2" s="107"/>
      <c r="TIJ2" s="107"/>
      <c r="TIK2" s="107"/>
      <c r="TIL2" s="107"/>
      <c r="TIM2" s="107"/>
      <c r="TIN2" s="107"/>
      <c r="TIO2" s="107"/>
      <c r="TIP2" s="107"/>
      <c r="TIQ2" s="107"/>
      <c r="TIR2" s="107"/>
      <c r="TIS2" s="107"/>
      <c r="TIT2" s="107"/>
      <c r="TIU2" s="107"/>
      <c r="TIV2" s="107"/>
      <c r="TIW2" s="107"/>
      <c r="TIX2" s="107"/>
      <c r="TIY2" s="107"/>
      <c r="TIZ2" s="107"/>
      <c r="TJA2" s="107"/>
      <c r="TJB2" s="107"/>
      <c r="TJC2" s="107"/>
      <c r="TJD2" s="107"/>
      <c r="TJE2" s="107"/>
      <c r="TJF2" s="107"/>
      <c r="TJG2" s="107"/>
      <c r="TJH2" s="107"/>
      <c r="TJI2" s="107"/>
      <c r="TJJ2" s="107"/>
      <c r="TJK2" s="107"/>
      <c r="TJL2" s="107"/>
      <c r="TJM2" s="107"/>
      <c r="TJN2" s="107"/>
      <c r="TJO2" s="107"/>
      <c r="TJP2" s="107"/>
      <c r="TJQ2" s="107"/>
      <c r="TJR2" s="107"/>
      <c r="TJS2" s="107"/>
      <c r="TJT2" s="107"/>
      <c r="TJU2" s="107"/>
      <c r="TJV2" s="107"/>
      <c r="TJW2" s="107"/>
      <c r="TJX2" s="107"/>
      <c r="TJY2" s="107"/>
      <c r="TJZ2" s="107"/>
      <c r="TKA2" s="107"/>
      <c r="TKB2" s="107"/>
      <c r="TKC2" s="107"/>
      <c r="TKD2" s="107"/>
      <c r="TKE2" s="107"/>
      <c r="TKF2" s="107"/>
      <c r="TKG2" s="107"/>
      <c r="TKH2" s="107"/>
      <c r="TKI2" s="107"/>
      <c r="TKJ2" s="107"/>
      <c r="TKK2" s="107"/>
      <c r="TKL2" s="107"/>
      <c r="TKM2" s="107"/>
      <c r="TKN2" s="107"/>
      <c r="TKO2" s="107"/>
      <c r="TKP2" s="107"/>
      <c r="TKQ2" s="107"/>
      <c r="TKR2" s="107"/>
      <c r="TKS2" s="107"/>
      <c r="TKT2" s="107"/>
      <c r="TKU2" s="107"/>
      <c r="TKV2" s="107"/>
      <c r="TKW2" s="107"/>
      <c r="TKX2" s="107"/>
      <c r="TKY2" s="107"/>
      <c r="TKZ2" s="107"/>
      <c r="TLA2" s="107"/>
      <c r="TLB2" s="107"/>
      <c r="TLC2" s="107"/>
      <c r="TLD2" s="107"/>
      <c r="TLE2" s="107"/>
      <c r="TLF2" s="107"/>
      <c r="TLG2" s="107"/>
      <c r="TLH2" s="107"/>
      <c r="TLI2" s="107"/>
      <c r="TLJ2" s="107"/>
      <c r="TLK2" s="107"/>
      <c r="TLL2" s="107"/>
      <c r="TLM2" s="107"/>
      <c r="TLN2" s="107"/>
      <c r="TLO2" s="107"/>
      <c r="TLP2" s="107"/>
      <c r="TLQ2" s="107"/>
      <c r="TLR2" s="107"/>
      <c r="TLS2" s="107"/>
      <c r="TLT2" s="107"/>
      <c r="TLU2" s="107"/>
      <c r="TLV2" s="107"/>
      <c r="TLW2" s="107"/>
      <c r="TLX2" s="107"/>
      <c r="TLY2" s="107"/>
      <c r="TLZ2" s="107"/>
      <c r="TMA2" s="107"/>
      <c r="TMB2" s="107"/>
      <c r="TMC2" s="107"/>
      <c r="TMD2" s="107"/>
      <c r="TME2" s="107"/>
      <c r="TMF2" s="107"/>
      <c r="TMG2" s="107"/>
      <c r="TMH2" s="107"/>
      <c r="TMI2" s="107"/>
      <c r="TMJ2" s="107"/>
      <c r="TMK2" s="107"/>
      <c r="TML2" s="107"/>
      <c r="TMM2" s="107"/>
      <c r="TMN2" s="107"/>
      <c r="TMO2" s="107"/>
      <c r="TMP2" s="107"/>
      <c r="TMQ2" s="107"/>
      <c r="TMR2" s="107"/>
      <c r="TMS2" s="107"/>
      <c r="TMT2" s="107"/>
      <c r="TMU2" s="107"/>
      <c r="TMV2" s="107"/>
      <c r="TMW2" s="107"/>
      <c r="TMX2" s="107"/>
      <c r="TMY2" s="107"/>
      <c r="TMZ2" s="107"/>
      <c r="TNA2" s="107"/>
      <c r="TNB2" s="107"/>
      <c r="TNC2" s="107"/>
      <c r="TND2" s="107"/>
      <c r="TNE2" s="107"/>
      <c r="TNF2" s="107"/>
      <c r="TNG2" s="107"/>
      <c r="TNH2" s="107"/>
      <c r="TNI2" s="107"/>
      <c r="TNJ2" s="107"/>
      <c r="TNK2" s="107"/>
      <c r="TNL2" s="107"/>
      <c r="TNM2" s="107"/>
      <c r="TNN2" s="107"/>
      <c r="TNO2" s="107"/>
      <c r="TNP2" s="107"/>
      <c r="TNQ2" s="107"/>
      <c r="TNR2" s="107"/>
      <c r="TNS2" s="107"/>
      <c r="TNT2" s="107"/>
      <c r="TNU2" s="107"/>
      <c r="TNV2" s="107"/>
      <c r="TNW2" s="107"/>
      <c r="TNX2" s="107"/>
      <c r="TNY2" s="107"/>
      <c r="TNZ2" s="107"/>
      <c r="TOA2" s="107"/>
      <c r="TOB2" s="107"/>
      <c r="TOC2" s="107"/>
      <c r="TOD2" s="107"/>
      <c r="TOE2" s="107"/>
      <c r="TOF2" s="107"/>
      <c r="TOG2" s="107"/>
      <c r="TOH2" s="107"/>
      <c r="TOI2" s="107"/>
      <c r="TOJ2" s="107"/>
      <c r="TOK2" s="107"/>
      <c r="TOL2" s="107"/>
      <c r="TOM2" s="107"/>
      <c r="TON2" s="107"/>
      <c r="TOO2" s="107"/>
      <c r="TOP2" s="107"/>
      <c r="TOQ2" s="107"/>
      <c r="TOR2" s="107"/>
      <c r="TOS2" s="107"/>
      <c r="TOT2" s="107"/>
      <c r="TOU2" s="107"/>
      <c r="TOV2" s="107"/>
      <c r="TOW2" s="107"/>
      <c r="TOX2" s="107"/>
      <c r="TOY2" s="107"/>
      <c r="TOZ2" s="107"/>
      <c r="TPA2" s="107"/>
      <c r="TPB2" s="107"/>
      <c r="TPC2" s="107"/>
      <c r="TPD2" s="107"/>
      <c r="TPE2" s="107"/>
      <c r="TPF2" s="107"/>
      <c r="TPG2" s="107"/>
      <c r="TPH2" s="107"/>
      <c r="TPI2" s="107"/>
      <c r="TPJ2" s="107"/>
      <c r="TPK2" s="107"/>
      <c r="TPL2" s="107"/>
      <c r="TPM2" s="107"/>
      <c r="TPN2" s="107"/>
      <c r="TPO2" s="107"/>
      <c r="TPP2" s="107"/>
      <c r="TPQ2" s="107"/>
      <c r="TPR2" s="107"/>
      <c r="TPS2" s="107"/>
      <c r="TPT2" s="107"/>
      <c r="TPU2" s="107"/>
      <c r="TPV2" s="107"/>
      <c r="TPW2" s="107"/>
      <c r="TPX2" s="107"/>
      <c r="TPY2" s="107"/>
      <c r="TPZ2" s="107"/>
      <c r="TQA2" s="107"/>
      <c r="TQB2" s="107"/>
      <c r="TQC2" s="107"/>
      <c r="TQD2" s="107"/>
      <c r="TQE2" s="107"/>
      <c r="TQF2" s="107"/>
      <c r="TQG2" s="107"/>
      <c r="TQH2" s="107"/>
      <c r="TQI2" s="107"/>
      <c r="TQJ2" s="107"/>
      <c r="TQK2" s="107"/>
      <c r="TQL2" s="107"/>
      <c r="TQM2" s="107"/>
      <c r="TQN2" s="107"/>
      <c r="TQO2" s="107"/>
      <c r="TQP2" s="107"/>
      <c r="TQQ2" s="107"/>
      <c r="TQR2" s="107"/>
      <c r="TQS2" s="107"/>
      <c r="TQT2" s="107"/>
      <c r="TQU2" s="107"/>
      <c r="TQV2" s="107"/>
      <c r="TQW2" s="107"/>
      <c r="TQX2" s="107"/>
      <c r="TQY2" s="107"/>
      <c r="TQZ2" s="107"/>
      <c r="TRA2" s="107"/>
      <c r="TRB2" s="107"/>
      <c r="TRC2" s="107"/>
      <c r="TRD2" s="107"/>
      <c r="TRE2" s="107"/>
      <c r="TRF2" s="107"/>
      <c r="TRG2" s="107"/>
      <c r="TRH2" s="107"/>
      <c r="TRI2" s="107"/>
      <c r="TRJ2" s="107"/>
      <c r="TRK2" s="107"/>
      <c r="TRL2" s="107"/>
      <c r="TRM2" s="107"/>
      <c r="TRN2" s="107"/>
      <c r="TRO2" s="107"/>
      <c r="TRP2" s="107"/>
      <c r="TRQ2" s="107"/>
      <c r="TRR2" s="107"/>
      <c r="TRS2" s="107"/>
      <c r="TRT2" s="107"/>
      <c r="TRU2" s="107"/>
      <c r="TRV2" s="107"/>
      <c r="TRW2" s="107"/>
      <c r="TRX2" s="107"/>
      <c r="TRY2" s="107"/>
      <c r="TRZ2" s="107"/>
      <c r="TSA2" s="107"/>
      <c r="TSB2" s="107"/>
      <c r="TSC2" s="107"/>
      <c r="TSD2" s="107"/>
      <c r="TSE2" s="107"/>
      <c r="TSF2" s="107"/>
      <c r="TSG2" s="107"/>
      <c r="TSH2" s="107"/>
      <c r="TSI2" s="107"/>
      <c r="TSJ2" s="107"/>
      <c r="TSK2" s="107"/>
      <c r="TSL2" s="107"/>
      <c r="TSM2" s="107"/>
      <c r="TSN2" s="107"/>
      <c r="TSO2" s="107"/>
      <c r="TSP2" s="107"/>
      <c r="TSQ2" s="107"/>
      <c r="TSR2" s="107"/>
      <c r="TSS2" s="107"/>
      <c r="TST2" s="107"/>
      <c r="TSU2" s="107"/>
      <c r="TSV2" s="107"/>
      <c r="TSW2" s="107"/>
      <c r="TSX2" s="107"/>
      <c r="TSY2" s="107"/>
      <c r="TSZ2" s="107"/>
      <c r="TTA2" s="107"/>
      <c r="TTB2" s="107"/>
      <c r="TTC2" s="107"/>
      <c r="TTD2" s="107"/>
      <c r="TTE2" s="107"/>
      <c r="TTF2" s="107"/>
      <c r="TTG2" s="107"/>
      <c r="TTH2" s="107"/>
      <c r="TTI2" s="107"/>
      <c r="TTJ2" s="107"/>
      <c r="TTK2" s="107"/>
      <c r="TTL2" s="107"/>
      <c r="TTM2" s="107"/>
      <c r="TTN2" s="107"/>
      <c r="TTO2" s="107"/>
      <c r="TTP2" s="107"/>
      <c r="TTQ2" s="107"/>
      <c r="TTR2" s="107"/>
      <c r="TTS2" s="107"/>
      <c r="TTT2" s="107"/>
      <c r="TTU2" s="107"/>
      <c r="TTV2" s="107"/>
      <c r="TTW2" s="107"/>
      <c r="TTX2" s="107"/>
      <c r="TTY2" s="107"/>
      <c r="TTZ2" s="107"/>
      <c r="TUA2" s="107"/>
      <c r="TUB2" s="107"/>
      <c r="TUC2" s="107"/>
      <c r="TUD2" s="107"/>
      <c r="TUE2" s="107"/>
      <c r="TUF2" s="107"/>
      <c r="TUG2" s="107"/>
      <c r="TUH2" s="107"/>
      <c r="TUI2" s="107"/>
      <c r="TUJ2" s="107"/>
      <c r="TUK2" s="107"/>
      <c r="TUL2" s="107"/>
      <c r="TUM2" s="107"/>
      <c r="TUN2" s="107"/>
      <c r="TUO2" s="107"/>
      <c r="TUP2" s="107"/>
      <c r="TUQ2" s="107"/>
      <c r="TUR2" s="107"/>
      <c r="TUS2" s="107"/>
      <c r="TUT2" s="107"/>
      <c r="TUU2" s="107"/>
      <c r="TUV2" s="107"/>
      <c r="TUW2" s="107"/>
      <c r="TUX2" s="107"/>
      <c r="TUY2" s="107"/>
      <c r="TUZ2" s="107"/>
      <c r="TVA2" s="107"/>
      <c r="TVB2" s="107"/>
      <c r="TVC2" s="107"/>
      <c r="TVD2" s="107"/>
      <c r="TVE2" s="107"/>
      <c r="TVF2" s="107"/>
      <c r="TVG2" s="107"/>
      <c r="TVH2" s="107"/>
      <c r="TVI2" s="107"/>
      <c r="TVJ2" s="107"/>
      <c r="TVK2" s="107"/>
      <c r="TVL2" s="107"/>
      <c r="TVM2" s="107"/>
      <c r="TVN2" s="107"/>
      <c r="TVO2" s="107"/>
      <c r="TVP2" s="107"/>
      <c r="TVQ2" s="107"/>
      <c r="TVR2" s="107"/>
      <c r="TVS2" s="107"/>
      <c r="TVT2" s="107"/>
      <c r="TVU2" s="107"/>
      <c r="TVV2" s="107"/>
      <c r="TVW2" s="107"/>
      <c r="TVX2" s="107"/>
      <c r="TVY2" s="107"/>
      <c r="TVZ2" s="107"/>
      <c r="TWA2" s="107"/>
      <c r="TWB2" s="107"/>
      <c r="TWC2" s="107"/>
      <c r="TWD2" s="107"/>
      <c r="TWE2" s="107"/>
      <c r="TWF2" s="107"/>
      <c r="TWG2" s="107"/>
      <c r="TWH2" s="107"/>
      <c r="TWI2" s="107"/>
      <c r="TWJ2" s="107"/>
      <c r="TWK2" s="107"/>
      <c r="TWL2" s="107"/>
      <c r="TWM2" s="107"/>
      <c r="TWN2" s="107"/>
      <c r="TWO2" s="107"/>
      <c r="TWP2" s="107"/>
      <c r="TWQ2" s="107"/>
      <c r="TWR2" s="107"/>
      <c r="TWS2" s="107"/>
      <c r="TWT2" s="107"/>
      <c r="TWU2" s="107"/>
      <c r="TWV2" s="107"/>
      <c r="TWW2" s="107"/>
      <c r="TWX2" s="107"/>
      <c r="TWY2" s="107"/>
      <c r="TWZ2" s="107"/>
      <c r="TXA2" s="107"/>
      <c r="TXB2" s="107"/>
      <c r="TXC2" s="107"/>
      <c r="TXD2" s="107"/>
      <c r="TXE2" s="107"/>
      <c r="TXF2" s="107"/>
      <c r="TXG2" s="107"/>
      <c r="TXH2" s="107"/>
      <c r="TXI2" s="107"/>
      <c r="TXJ2" s="107"/>
      <c r="TXK2" s="107"/>
      <c r="TXL2" s="107"/>
      <c r="TXM2" s="107"/>
      <c r="TXN2" s="107"/>
      <c r="TXO2" s="107"/>
      <c r="TXP2" s="107"/>
      <c r="TXQ2" s="107"/>
      <c r="TXR2" s="107"/>
      <c r="TXS2" s="107"/>
      <c r="TXT2" s="107"/>
      <c r="TXU2" s="107"/>
      <c r="TXV2" s="107"/>
      <c r="TXW2" s="107"/>
      <c r="TXX2" s="107"/>
      <c r="TXY2" s="107"/>
      <c r="TXZ2" s="107"/>
      <c r="TYA2" s="107"/>
      <c r="TYB2" s="107"/>
      <c r="TYC2" s="107"/>
      <c r="TYD2" s="107"/>
      <c r="TYE2" s="107"/>
      <c r="TYF2" s="107"/>
      <c r="TYG2" s="107"/>
      <c r="TYH2" s="107"/>
      <c r="TYI2" s="107"/>
      <c r="TYJ2" s="107"/>
      <c r="TYK2" s="107"/>
      <c r="TYL2" s="107"/>
      <c r="TYM2" s="107"/>
      <c r="TYN2" s="107"/>
      <c r="TYO2" s="107"/>
      <c r="TYP2" s="107"/>
      <c r="TYQ2" s="107"/>
      <c r="TYR2" s="107"/>
      <c r="TYS2" s="107"/>
      <c r="TYT2" s="107"/>
      <c r="TYU2" s="107"/>
      <c r="TYV2" s="107"/>
      <c r="TYW2" s="107"/>
      <c r="TYX2" s="107"/>
      <c r="TYY2" s="107"/>
      <c r="TYZ2" s="107"/>
      <c r="TZA2" s="107"/>
      <c r="TZB2" s="107"/>
      <c r="TZC2" s="107"/>
      <c r="TZD2" s="107"/>
      <c r="TZE2" s="107"/>
      <c r="TZF2" s="107"/>
      <c r="TZG2" s="107"/>
      <c r="TZH2" s="107"/>
      <c r="TZI2" s="107"/>
      <c r="TZJ2" s="107"/>
      <c r="TZK2" s="107"/>
      <c r="TZL2" s="107"/>
      <c r="TZM2" s="107"/>
      <c r="TZN2" s="107"/>
      <c r="TZO2" s="107"/>
      <c r="TZP2" s="107"/>
      <c r="TZQ2" s="107"/>
      <c r="TZR2" s="107"/>
      <c r="TZS2" s="107"/>
      <c r="TZT2" s="107"/>
      <c r="TZU2" s="107"/>
      <c r="TZV2" s="107"/>
      <c r="TZW2" s="107"/>
      <c r="TZX2" s="107"/>
      <c r="TZY2" s="107"/>
      <c r="TZZ2" s="107"/>
      <c r="UAA2" s="107"/>
      <c r="UAB2" s="107"/>
      <c r="UAC2" s="107"/>
      <c r="UAD2" s="107"/>
      <c r="UAE2" s="107"/>
      <c r="UAF2" s="107"/>
      <c r="UAG2" s="107"/>
      <c r="UAH2" s="107"/>
      <c r="UAI2" s="107"/>
      <c r="UAJ2" s="107"/>
      <c r="UAK2" s="107"/>
      <c r="UAL2" s="107"/>
      <c r="UAM2" s="107"/>
      <c r="UAN2" s="107"/>
      <c r="UAO2" s="107"/>
      <c r="UAP2" s="107"/>
      <c r="UAQ2" s="107"/>
      <c r="UAR2" s="107"/>
      <c r="UAS2" s="107"/>
      <c r="UAT2" s="107"/>
      <c r="UAU2" s="107"/>
      <c r="UAV2" s="107"/>
      <c r="UAW2" s="107"/>
      <c r="UAX2" s="107"/>
      <c r="UAY2" s="107"/>
      <c r="UAZ2" s="107"/>
      <c r="UBA2" s="107"/>
      <c r="UBB2" s="107"/>
      <c r="UBC2" s="107"/>
      <c r="UBD2" s="107"/>
      <c r="UBE2" s="107"/>
      <c r="UBF2" s="107"/>
      <c r="UBG2" s="107"/>
      <c r="UBH2" s="107"/>
      <c r="UBI2" s="107"/>
      <c r="UBJ2" s="107"/>
      <c r="UBK2" s="107"/>
      <c r="UBL2" s="107"/>
      <c r="UBM2" s="107"/>
      <c r="UBN2" s="107"/>
      <c r="UBO2" s="107"/>
      <c r="UBP2" s="107"/>
      <c r="UBQ2" s="107"/>
      <c r="UBR2" s="107"/>
      <c r="UBS2" s="107"/>
      <c r="UBT2" s="107"/>
      <c r="UBU2" s="107"/>
      <c r="UBV2" s="107"/>
      <c r="UBW2" s="107"/>
      <c r="UBX2" s="107"/>
      <c r="UBY2" s="107"/>
      <c r="UBZ2" s="107"/>
      <c r="UCA2" s="107"/>
      <c r="UCB2" s="107"/>
      <c r="UCC2" s="107"/>
      <c r="UCD2" s="107"/>
      <c r="UCE2" s="107"/>
      <c r="UCF2" s="107"/>
      <c r="UCG2" s="107"/>
      <c r="UCH2" s="107"/>
      <c r="UCI2" s="107"/>
      <c r="UCJ2" s="107"/>
      <c r="UCK2" s="107"/>
      <c r="UCL2" s="107"/>
      <c r="UCM2" s="107"/>
      <c r="UCN2" s="107"/>
      <c r="UCO2" s="107"/>
      <c r="UCP2" s="107"/>
      <c r="UCQ2" s="107"/>
      <c r="UCR2" s="107"/>
      <c r="UCS2" s="107"/>
      <c r="UCT2" s="107"/>
      <c r="UCU2" s="107"/>
      <c r="UCV2" s="107"/>
      <c r="UCW2" s="107"/>
      <c r="UCX2" s="107"/>
      <c r="UCY2" s="107"/>
      <c r="UCZ2" s="107"/>
      <c r="UDA2" s="107"/>
      <c r="UDB2" s="107"/>
      <c r="UDC2" s="107"/>
      <c r="UDD2" s="107"/>
      <c r="UDE2" s="107"/>
      <c r="UDF2" s="107"/>
      <c r="UDG2" s="107"/>
      <c r="UDH2" s="107"/>
      <c r="UDI2" s="107"/>
      <c r="UDJ2" s="107"/>
      <c r="UDK2" s="107"/>
      <c r="UDL2" s="107"/>
      <c r="UDM2" s="107"/>
      <c r="UDN2" s="107"/>
      <c r="UDO2" s="107"/>
      <c r="UDP2" s="107"/>
      <c r="UDQ2" s="107"/>
      <c r="UDR2" s="107"/>
      <c r="UDS2" s="107"/>
      <c r="UDT2" s="107"/>
      <c r="UDU2" s="107"/>
      <c r="UDV2" s="107"/>
      <c r="UDW2" s="107"/>
      <c r="UDX2" s="107"/>
      <c r="UDY2" s="107"/>
      <c r="UDZ2" s="107"/>
      <c r="UEA2" s="107"/>
      <c r="UEB2" s="107"/>
      <c r="UEC2" s="107"/>
      <c r="UED2" s="107"/>
      <c r="UEE2" s="107"/>
      <c r="UEF2" s="107"/>
      <c r="UEG2" s="107"/>
      <c r="UEH2" s="107"/>
      <c r="UEI2" s="107"/>
      <c r="UEJ2" s="107"/>
      <c r="UEK2" s="107"/>
      <c r="UEL2" s="107"/>
      <c r="UEM2" s="107"/>
      <c r="UEN2" s="107"/>
      <c r="UEO2" s="107"/>
      <c r="UEP2" s="107"/>
      <c r="UEQ2" s="107"/>
      <c r="UER2" s="107"/>
      <c r="UES2" s="107"/>
      <c r="UET2" s="107"/>
      <c r="UEU2" s="107"/>
      <c r="UEV2" s="107"/>
      <c r="UEW2" s="107"/>
      <c r="UEX2" s="107"/>
      <c r="UEY2" s="107"/>
      <c r="UEZ2" s="107"/>
      <c r="UFA2" s="107"/>
      <c r="UFB2" s="107"/>
      <c r="UFC2" s="107"/>
      <c r="UFD2" s="107"/>
      <c r="UFE2" s="107"/>
      <c r="UFF2" s="107"/>
      <c r="UFG2" s="107"/>
      <c r="UFH2" s="107"/>
      <c r="UFI2" s="107"/>
      <c r="UFJ2" s="107"/>
      <c r="UFK2" s="107"/>
      <c r="UFL2" s="107"/>
      <c r="UFM2" s="107"/>
      <c r="UFN2" s="107"/>
      <c r="UFO2" s="107"/>
      <c r="UFP2" s="107"/>
      <c r="UFQ2" s="107"/>
      <c r="UFR2" s="107"/>
      <c r="UFS2" s="107"/>
      <c r="UFT2" s="107"/>
      <c r="UFU2" s="107"/>
      <c r="UFV2" s="107"/>
      <c r="UFW2" s="107"/>
      <c r="UFX2" s="107"/>
      <c r="UFY2" s="107"/>
      <c r="UFZ2" s="107"/>
      <c r="UGA2" s="107"/>
      <c r="UGB2" s="107"/>
      <c r="UGC2" s="107"/>
      <c r="UGD2" s="107"/>
      <c r="UGE2" s="107"/>
      <c r="UGF2" s="107"/>
      <c r="UGG2" s="107"/>
      <c r="UGH2" s="107"/>
      <c r="UGI2" s="107"/>
      <c r="UGJ2" s="107"/>
      <c r="UGK2" s="107"/>
      <c r="UGL2" s="107"/>
      <c r="UGM2" s="107"/>
      <c r="UGN2" s="107"/>
      <c r="UGO2" s="107"/>
      <c r="UGP2" s="107"/>
      <c r="UGQ2" s="107"/>
      <c r="UGR2" s="107"/>
      <c r="UGS2" s="107"/>
      <c r="UGT2" s="107"/>
      <c r="UGU2" s="107"/>
      <c r="UGV2" s="107"/>
      <c r="UGW2" s="107"/>
      <c r="UGX2" s="107"/>
      <c r="UGY2" s="107"/>
      <c r="UGZ2" s="107"/>
      <c r="UHA2" s="107"/>
      <c r="UHB2" s="107"/>
      <c r="UHC2" s="107"/>
      <c r="UHD2" s="107"/>
      <c r="UHE2" s="107"/>
      <c r="UHF2" s="107"/>
      <c r="UHG2" s="107"/>
      <c r="UHH2" s="107"/>
      <c r="UHI2" s="107"/>
      <c r="UHJ2" s="107"/>
      <c r="UHK2" s="107"/>
      <c r="UHL2" s="107"/>
      <c r="UHM2" s="107"/>
      <c r="UHN2" s="107"/>
      <c r="UHO2" s="107"/>
      <c r="UHP2" s="107"/>
      <c r="UHQ2" s="107"/>
      <c r="UHR2" s="107"/>
      <c r="UHS2" s="107"/>
      <c r="UHT2" s="107"/>
      <c r="UHU2" s="107"/>
      <c r="UHV2" s="107"/>
      <c r="UHW2" s="107"/>
      <c r="UHX2" s="107"/>
      <c r="UHY2" s="107"/>
      <c r="UHZ2" s="107"/>
      <c r="UIA2" s="107"/>
      <c r="UIB2" s="107"/>
      <c r="UIC2" s="107"/>
      <c r="UID2" s="107"/>
      <c r="UIE2" s="107"/>
      <c r="UIF2" s="107"/>
      <c r="UIG2" s="107"/>
      <c r="UIH2" s="107"/>
      <c r="UII2" s="107"/>
      <c r="UIJ2" s="107"/>
      <c r="UIK2" s="107"/>
      <c r="UIL2" s="107"/>
      <c r="UIM2" s="107"/>
      <c r="UIN2" s="107"/>
      <c r="UIO2" s="107"/>
      <c r="UIP2" s="107"/>
      <c r="UIQ2" s="107"/>
      <c r="UIR2" s="107"/>
      <c r="UIS2" s="107"/>
      <c r="UIT2" s="107"/>
      <c r="UIU2" s="107"/>
      <c r="UIV2" s="107"/>
      <c r="UIW2" s="107"/>
      <c r="UIX2" s="107"/>
      <c r="UIY2" s="107"/>
      <c r="UIZ2" s="107"/>
      <c r="UJA2" s="107"/>
      <c r="UJB2" s="107"/>
      <c r="UJC2" s="107"/>
      <c r="UJD2" s="107"/>
      <c r="UJE2" s="107"/>
      <c r="UJF2" s="107"/>
      <c r="UJG2" s="107"/>
      <c r="UJH2" s="107"/>
      <c r="UJI2" s="107"/>
      <c r="UJJ2" s="107"/>
      <c r="UJK2" s="107"/>
      <c r="UJL2" s="107"/>
      <c r="UJM2" s="107"/>
      <c r="UJN2" s="107"/>
      <c r="UJO2" s="107"/>
      <c r="UJP2" s="107"/>
      <c r="UJQ2" s="107"/>
      <c r="UJR2" s="107"/>
      <c r="UJS2" s="107"/>
      <c r="UJT2" s="107"/>
      <c r="UJU2" s="107"/>
      <c r="UJV2" s="107"/>
      <c r="UJW2" s="107"/>
      <c r="UJX2" s="107"/>
      <c r="UJY2" s="107"/>
      <c r="UJZ2" s="107"/>
      <c r="UKA2" s="107"/>
      <c r="UKB2" s="107"/>
      <c r="UKC2" s="107"/>
      <c r="UKD2" s="107"/>
      <c r="UKE2" s="107"/>
      <c r="UKF2" s="107"/>
      <c r="UKG2" s="107"/>
      <c r="UKH2" s="107"/>
      <c r="UKI2" s="107"/>
      <c r="UKJ2" s="107"/>
      <c r="UKK2" s="107"/>
      <c r="UKL2" s="107"/>
      <c r="UKM2" s="107"/>
      <c r="UKN2" s="107"/>
      <c r="UKO2" s="107"/>
      <c r="UKP2" s="107"/>
      <c r="UKQ2" s="107"/>
      <c r="UKR2" s="107"/>
      <c r="UKS2" s="107"/>
      <c r="UKT2" s="107"/>
      <c r="UKU2" s="107"/>
      <c r="UKV2" s="107"/>
      <c r="UKW2" s="107"/>
      <c r="UKX2" s="107"/>
      <c r="UKY2" s="107"/>
      <c r="UKZ2" s="107"/>
      <c r="ULA2" s="107"/>
      <c r="ULB2" s="107"/>
      <c r="ULC2" s="107"/>
      <c r="ULD2" s="107"/>
      <c r="ULE2" s="107"/>
      <c r="ULF2" s="107"/>
      <c r="ULG2" s="107"/>
      <c r="ULH2" s="107"/>
      <c r="ULI2" s="107"/>
      <c r="ULJ2" s="107"/>
      <c r="ULK2" s="107"/>
      <c r="ULL2" s="107"/>
      <c r="ULM2" s="107"/>
      <c r="ULN2" s="107"/>
      <c r="ULO2" s="107"/>
      <c r="ULP2" s="107"/>
      <c r="ULQ2" s="107"/>
      <c r="ULR2" s="107"/>
      <c r="ULS2" s="107"/>
      <c r="ULT2" s="107"/>
      <c r="ULU2" s="107"/>
      <c r="ULV2" s="107"/>
      <c r="ULW2" s="107"/>
      <c r="ULX2" s="107"/>
      <c r="ULY2" s="107"/>
      <c r="ULZ2" s="107"/>
      <c r="UMA2" s="107"/>
      <c r="UMB2" s="107"/>
      <c r="UMC2" s="107"/>
      <c r="UMD2" s="107"/>
      <c r="UME2" s="107"/>
      <c r="UMF2" s="107"/>
      <c r="UMG2" s="107"/>
      <c r="UMH2" s="107"/>
      <c r="UMI2" s="107"/>
      <c r="UMJ2" s="107"/>
      <c r="UMK2" s="107"/>
      <c r="UML2" s="107"/>
      <c r="UMM2" s="107"/>
      <c r="UMN2" s="107"/>
      <c r="UMO2" s="107"/>
      <c r="UMP2" s="107"/>
      <c r="UMQ2" s="107"/>
      <c r="UMR2" s="107"/>
      <c r="UMS2" s="107"/>
      <c r="UMT2" s="107"/>
      <c r="UMU2" s="107"/>
      <c r="UMV2" s="107"/>
      <c r="UMW2" s="107"/>
      <c r="UMX2" s="107"/>
      <c r="UMY2" s="107"/>
      <c r="UMZ2" s="107"/>
      <c r="UNA2" s="107"/>
      <c r="UNB2" s="107"/>
      <c r="UNC2" s="107"/>
      <c r="UND2" s="107"/>
      <c r="UNE2" s="107"/>
      <c r="UNF2" s="107"/>
      <c r="UNG2" s="107"/>
      <c r="UNH2" s="107"/>
      <c r="UNI2" s="107"/>
      <c r="UNJ2" s="107"/>
      <c r="UNK2" s="107"/>
      <c r="UNL2" s="107"/>
      <c r="UNM2" s="107"/>
      <c r="UNN2" s="107"/>
      <c r="UNO2" s="107"/>
      <c r="UNP2" s="107"/>
      <c r="UNQ2" s="107"/>
      <c r="UNR2" s="107"/>
      <c r="UNS2" s="107"/>
      <c r="UNT2" s="107"/>
      <c r="UNU2" s="107"/>
      <c r="UNV2" s="107"/>
      <c r="UNW2" s="107"/>
      <c r="UNX2" s="107"/>
      <c r="UNY2" s="107"/>
      <c r="UNZ2" s="107"/>
      <c r="UOA2" s="107"/>
      <c r="UOB2" s="107"/>
      <c r="UOC2" s="107"/>
      <c r="UOD2" s="107"/>
      <c r="UOE2" s="107"/>
      <c r="UOF2" s="107"/>
      <c r="UOG2" s="107"/>
      <c r="UOH2" s="107"/>
      <c r="UOI2" s="107"/>
      <c r="UOJ2" s="107"/>
      <c r="UOK2" s="107"/>
      <c r="UOL2" s="107"/>
      <c r="UOM2" s="107"/>
      <c r="UON2" s="107"/>
      <c r="UOO2" s="107"/>
      <c r="UOP2" s="107"/>
      <c r="UOQ2" s="107"/>
      <c r="UOR2" s="107"/>
      <c r="UOS2" s="107"/>
      <c r="UOT2" s="107"/>
      <c r="UOU2" s="107"/>
      <c r="UOV2" s="107"/>
      <c r="UOW2" s="107"/>
      <c r="UOX2" s="107"/>
      <c r="UOY2" s="107"/>
      <c r="UOZ2" s="107"/>
      <c r="UPA2" s="107"/>
      <c r="UPB2" s="107"/>
      <c r="UPC2" s="107"/>
      <c r="UPD2" s="107"/>
      <c r="UPE2" s="107"/>
      <c r="UPF2" s="107"/>
      <c r="UPG2" s="107"/>
      <c r="UPH2" s="107"/>
      <c r="UPI2" s="107"/>
      <c r="UPJ2" s="107"/>
      <c r="UPK2" s="107"/>
      <c r="UPL2" s="107"/>
      <c r="UPM2" s="107"/>
      <c r="UPN2" s="107"/>
      <c r="UPO2" s="107"/>
      <c r="UPP2" s="107"/>
      <c r="UPQ2" s="107"/>
      <c r="UPR2" s="107"/>
      <c r="UPS2" s="107"/>
      <c r="UPT2" s="107"/>
      <c r="UPU2" s="107"/>
      <c r="UPV2" s="107"/>
      <c r="UPW2" s="107"/>
      <c r="UPX2" s="107"/>
      <c r="UPY2" s="107"/>
      <c r="UPZ2" s="107"/>
      <c r="UQA2" s="107"/>
      <c r="UQB2" s="107"/>
      <c r="UQC2" s="107"/>
      <c r="UQD2" s="107"/>
      <c r="UQE2" s="107"/>
      <c r="UQF2" s="107"/>
      <c r="UQG2" s="107"/>
      <c r="UQH2" s="107"/>
      <c r="UQI2" s="107"/>
      <c r="UQJ2" s="107"/>
      <c r="UQK2" s="107"/>
      <c r="UQL2" s="107"/>
      <c r="UQM2" s="107"/>
      <c r="UQN2" s="107"/>
      <c r="UQO2" s="107"/>
      <c r="UQP2" s="107"/>
      <c r="UQQ2" s="107"/>
      <c r="UQR2" s="107"/>
      <c r="UQS2" s="107"/>
      <c r="UQT2" s="107"/>
      <c r="UQU2" s="107"/>
      <c r="UQV2" s="107"/>
      <c r="UQW2" s="107"/>
      <c r="UQX2" s="107"/>
      <c r="UQY2" s="107"/>
      <c r="UQZ2" s="107"/>
      <c r="URA2" s="107"/>
      <c r="URB2" s="107"/>
      <c r="URC2" s="107"/>
      <c r="URD2" s="107"/>
      <c r="URE2" s="107"/>
      <c r="URF2" s="107"/>
      <c r="URG2" s="107"/>
      <c r="URH2" s="107"/>
      <c r="URI2" s="107"/>
      <c r="URJ2" s="107"/>
      <c r="URK2" s="107"/>
      <c r="URL2" s="107"/>
      <c r="URM2" s="107"/>
      <c r="URN2" s="107"/>
      <c r="URO2" s="107"/>
      <c r="URP2" s="107"/>
      <c r="URQ2" s="107"/>
      <c r="URR2" s="107"/>
      <c r="URS2" s="107"/>
      <c r="URT2" s="107"/>
      <c r="URU2" s="107"/>
      <c r="URV2" s="107"/>
      <c r="URW2" s="107"/>
      <c r="URX2" s="107"/>
      <c r="URY2" s="107"/>
      <c r="URZ2" s="107"/>
      <c r="USA2" s="107"/>
      <c r="USB2" s="107"/>
      <c r="USC2" s="107"/>
      <c r="USD2" s="107"/>
      <c r="USE2" s="107"/>
      <c r="USF2" s="107"/>
      <c r="USG2" s="107"/>
      <c r="USH2" s="107"/>
      <c r="USI2" s="107"/>
      <c r="USJ2" s="107"/>
      <c r="USK2" s="107"/>
      <c r="USL2" s="107"/>
      <c r="USM2" s="107"/>
      <c r="USN2" s="107"/>
      <c r="USO2" s="107"/>
      <c r="USP2" s="107"/>
      <c r="USQ2" s="107"/>
      <c r="USR2" s="107"/>
      <c r="USS2" s="107"/>
      <c r="UST2" s="107"/>
      <c r="USU2" s="107"/>
      <c r="USV2" s="107"/>
      <c r="USW2" s="107"/>
      <c r="USX2" s="107"/>
      <c r="USY2" s="107"/>
      <c r="USZ2" s="107"/>
      <c r="UTA2" s="107"/>
      <c r="UTB2" s="107"/>
      <c r="UTC2" s="107"/>
      <c r="UTD2" s="107"/>
      <c r="UTE2" s="107"/>
      <c r="UTF2" s="107"/>
      <c r="UTG2" s="107"/>
      <c r="UTH2" s="107"/>
      <c r="UTI2" s="107"/>
      <c r="UTJ2" s="107"/>
      <c r="UTK2" s="107"/>
      <c r="UTL2" s="107"/>
      <c r="UTM2" s="107"/>
      <c r="UTN2" s="107"/>
      <c r="UTO2" s="107"/>
      <c r="UTP2" s="107"/>
      <c r="UTQ2" s="107"/>
      <c r="UTR2" s="107"/>
      <c r="UTS2" s="107"/>
      <c r="UTT2" s="107"/>
      <c r="UTU2" s="107"/>
      <c r="UTV2" s="107"/>
      <c r="UTW2" s="107"/>
      <c r="UTX2" s="107"/>
      <c r="UTY2" s="107"/>
      <c r="UTZ2" s="107"/>
      <c r="UUA2" s="107"/>
      <c r="UUB2" s="107"/>
      <c r="UUC2" s="107"/>
      <c r="UUD2" s="107"/>
      <c r="UUE2" s="107"/>
      <c r="UUF2" s="107"/>
      <c r="UUG2" s="107"/>
      <c r="UUH2" s="107"/>
      <c r="UUI2" s="107"/>
      <c r="UUJ2" s="107"/>
      <c r="UUK2" s="107"/>
      <c r="UUL2" s="107"/>
      <c r="UUM2" s="107"/>
      <c r="UUN2" s="107"/>
      <c r="UUO2" s="107"/>
      <c r="UUP2" s="107"/>
      <c r="UUQ2" s="107"/>
      <c r="UUR2" s="107"/>
      <c r="UUS2" s="107"/>
      <c r="UUT2" s="107"/>
      <c r="UUU2" s="107"/>
      <c r="UUV2" s="107"/>
      <c r="UUW2" s="107"/>
      <c r="UUX2" s="107"/>
      <c r="UUY2" s="107"/>
      <c r="UUZ2" s="107"/>
      <c r="UVA2" s="107"/>
      <c r="UVB2" s="107"/>
      <c r="UVC2" s="107"/>
      <c r="UVD2" s="107"/>
      <c r="UVE2" s="107"/>
      <c r="UVF2" s="107"/>
      <c r="UVG2" s="107"/>
      <c r="UVH2" s="107"/>
      <c r="UVI2" s="107"/>
      <c r="UVJ2" s="107"/>
      <c r="UVK2" s="107"/>
      <c r="UVL2" s="107"/>
      <c r="UVM2" s="107"/>
      <c r="UVN2" s="107"/>
      <c r="UVO2" s="107"/>
      <c r="UVP2" s="107"/>
      <c r="UVQ2" s="107"/>
      <c r="UVR2" s="107"/>
      <c r="UVS2" s="107"/>
      <c r="UVT2" s="107"/>
      <c r="UVU2" s="107"/>
      <c r="UVV2" s="107"/>
      <c r="UVW2" s="107"/>
      <c r="UVX2" s="107"/>
      <c r="UVY2" s="107"/>
      <c r="UVZ2" s="107"/>
      <c r="UWA2" s="107"/>
      <c r="UWB2" s="107"/>
      <c r="UWC2" s="107"/>
      <c r="UWD2" s="107"/>
      <c r="UWE2" s="107"/>
      <c r="UWF2" s="107"/>
      <c r="UWG2" s="107"/>
      <c r="UWH2" s="107"/>
      <c r="UWI2" s="107"/>
      <c r="UWJ2" s="107"/>
      <c r="UWK2" s="107"/>
      <c r="UWL2" s="107"/>
      <c r="UWM2" s="107"/>
      <c r="UWN2" s="107"/>
      <c r="UWO2" s="107"/>
      <c r="UWP2" s="107"/>
      <c r="UWQ2" s="107"/>
      <c r="UWR2" s="107"/>
      <c r="UWS2" s="107"/>
      <c r="UWT2" s="107"/>
      <c r="UWU2" s="107"/>
      <c r="UWV2" s="107"/>
      <c r="UWW2" s="107"/>
      <c r="UWX2" s="107"/>
      <c r="UWY2" s="107"/>
      <c r="UWZ2" s="107"/>
      <c r="UXA2" s="107"/>
      <c r="UXB2" s="107"/>
      <c r="UXC2" s="107"/>
      <c r="UXD2" s="107"/>
      <c r="UXE2" s="107"/>
      <c r="UXF2" s="107"/>
      <c r="UXG2" s="107"/>
      <c r="UXH2" s="107"/>
      <c r="UXI2" s="107"/>
      <c r="UXJ2" s="107"/>
      <c r="UXK2" s="107"/>
      <c r="UXL2" s="107"/>
      <c r="UXM2" s="107"/>
      <c r="UXN2" s="107"/>
      <c r="UXO2" s="107"/>
      <c r="UXP2" s="107"/>
      <c r="UXQ2" s="107"/>
      <c r="UXR2" s="107"/>
      <c r="UXS2" s="107"/>
      <c r="UXT2" s="107"/>
      <c r="UXU2" s="107"/>
      <c r="UXV2" s="107"/>
      <c r="UXW2" s="107"/>
      <c r="UXX2" s="107"/>
      <c r="UXY2" s="107"/>
      <c r="UXZ2" s="107"/>
      <c r="UYA2" s="107"/>
      <c r="UYB2" s="107"/>
      <c r="UYC2" s="107"/>
      <c r="UYD2" s="107"/>
      <c r="UYE2" s="107"/>
      <c r="UYF2" s="107"/>
      <c r="UYG2" s="107"/>
      <c r="UYH2" s="107"/>
      <c r="UYI2" s="107"/>
      <c r="UYJ2" s="107"/>
      <c r="UYK2" s="107"/>
      <c r="UYL2" s="107"/>
      <c r="UYM2" s="107"/>
      <c r="UYN2" s="107"/>
      <c r="UYO2" s="107"/>
      <c r="UYP2" s="107"/>
      <c r="UYQ2" s="107"/>
      <c r="UYR2" s="107"/>
      <c r="UYS2" s="107"/>
      <c r="UYT2" s="107"/>
      <c r="UYU2" s="107"/>
      <c r="UYV2" s="107"/>
      <c r="UYW2" s="107"/>
      <c r="UYX2" s="107"/>
      <c r="UYY2" s="107"/>
      <c r="UYZ2" s="107"/>
      <c r="UZA2" s="107"/>
      <c r="UZB2" s="107"/>
      <c r="UZC2" s="107"/>
      <c r="UZD2" s="107"/>
      <c r="UZE2" s="107"/>
      <c r="UZF2" s="107"/>
      <c r="UZG2" s="107"/>
      <c r="UZH2" s="107"/>
      <c r="UZI2" s="107"/>
      <c r="UZJ2" s="107"/>
      <c r="UZK2" s="107"/>
      <c r="UZL2" s="107"/>
      <c r="UZM2" s="107"/>
      <c r="UZN2" s="107"/>
      <c r="UZO2" s="107"/>
      <c r="UZP2" s="107"/>
      <c r="UZQ2" s="107"/>
      <c r="UZR2" s="107"/>
      <c r="UZS2" s="107"/>
      <c r="UZT2" s="107"/>
      <c r="UZU2" s="107"/>
      <c r="UZV2" s="107"/>
      <c r="UZW2" s="107"/>
      <c r="UZX2" s="107"/>
      <c r="UZY2" s="107"/>
      <c r="UZZ2" s="107"/>
      <c r="VAA2" s="107"/>
      <c r="VAB2" s="107"/>
      <c r="VAC2" s="107"/>
      <c r="VAD2" s="107"/>
      <c r="VAE2" s="107"/>
      <c r="VAF2" s="107"/>
      <c r="VAG2" s="107"/>
      <c r="VAH2" s="107"/>
      <c r="VAI2" s="107"/>
      <c r="VAJ2" s="107"/>
      <c r="VAK2" s="107"/>
      <c r="VAL2" s="107"/>
      <c r="VAM2" s="107"/>
      <c r="VAN2" s="107"/>
      <c r="VAO2" s="107"/>
      <c r="VAP2" s="107"/>
      <c r="VAQ2" s="107"/>
      <c r="VAR2" s="107"/>
      <c r="VAS2" s="107"/>
      <c r="VAT2" s="107"/>
      <c r="VAU2" s="107"/>
      <c r="VAV2" s="107"/>
      <c r="VAW2" s="107"/>
      <c r="VAX2" s="107"/>
      <c r="VAY2" s="107"/>
      <c r="VAZ2" s="107"/>
      <c r="VBA2" s="107"/>
      <c r="VBB2" s="107"/>
      <c r="VBC2" s="107"/>
      <c r="VBD2" s="107"/>
      <c r="VBE2" s="107"/>
      <c r="VBF2" s="107"/>
      <c r="VBG2" s="107"/>
      <c r="VBH2" s="107"/>
      <c r="VBI2" s="107"/>
      <c r="VBJ2" s="107"/>
      <c r="VBK2" s="107"/>
      <c r="VBL2" s="107"/>
      <c r="VBM2" s="107"/>
      <c r="VBN2" s="107"/>
      <c r="VBO2" s="107"/>
      <c r="VBP2" s="107"/>
      <c r="VBQ2" s="107"/>
      <c r="VBR2" s="107"/>
      <c r="VBS2" s="107"/>
      <c r="VBT2" s="107"/>
      <c r="VBU2" s="107"/>
      <c r="VBV2" s="107"/>
      <c r="VBW2" s="107"/>
      <c r="VBX2" s="107"/>
      <c r="VBY2" s="107"/>
      <c r="VBZ2" s="107"/>
      <c r="VCA2" s="107"/>
      <c r="VCB2" s="107"/>
      <c r="VCC2" s="107"/>
      <c r="VCD2" s="107"/>
      <c r="VCE2" s="107"/>
      <c r="VCF2" s="107"/>
      <c r="VCG2" s="107"/>
      <c r="VCH2" s="107"/>
      <c r="VCI2" s="107"/>
      <c r="VCJ2" s="107"/>
      <c r="VCK2" s="107"/>
      <c r="VCL2" s="107"/>
      <c r="VCM2" s="107"/>
      <c r="VCN2" s="107"/>
      <c r="VCO2" s="107"/>
      <c r="VCP2" s="107"/>
      <c r="VCQ2" s="107"/>
      <c r="VCR2" s="107"/>
      <c r="VCS2" s="107"/>
      <c r="VCT2" s="107"/>
      <c r="VCU2" s="107"/>
      <c r="VCV2" s="107"/>
      <c r="VCW2" s="107"/>
      <c r="VCX2" s="107"/>
      <c r="VCY2" s="107"/>
      <c r="VCZ2" s="107"/>
      <c r="VDA2" s="107"/>
      <c r="VDB2" s="107"/>
      <c r="VDC2" s="107"/>
      <c r="VDD2" s="107"/>
      <c r="VDE2" s="107"/>
      <c r="VDF2" s="107"/>
      <c r="VDG2" s="107"/>
      <c r="VDH2" s="107"/>
      <c r="VDI2" s="107"/>
      <c r="VDJ2" s="107"/>
      <c r="VDK2" s="107"/>
      <c r="VDL2" s="107"/>
      <c r="VDM2" s="107"/>
      <c r="VDN2" s="107"/>
      <c r="VDO2" s="107"/>
      <c r="VDP2" s="107"/>
      <c r="VDQ2" s="107"/>
      <c r="VDR2" s="107"/>
      <c r="VDS2" s="107"/>
      <c r="VDT2" s="107"/>
      <c r="VDU2" s="107"/>
      <c r="VDV2" s="107"/>
      <c r="VDW2" s="107"/>
      <c r="VDX2" s="107"/>
      <c r="VDY2" s="107"/>
      <c r="VDZ2" s="107"/>
      <c r="VEA2" s="107"/>
      <c r="VEB2" s="107"/>
      <c r="VEC2" s="107"/>
      <c r="VED2" s="107"/>
      <c r="VEE2" s="107"/>
      <c r="VEF2" s="107"/>
      <c r="VEG2" s="107"/>
      <c r="VEH2" s="107"/>
      <c r="VEI2" s="107"/>
      <c r="VEJ2" s="107"/>
      <c r="VEK2" s="107"/>
      <c r="VEL2" s="107"/>
      <c r="VEM2" s="107"/>
      <c r="VEN2" s="107"/>
      <c r="VEO2" s="107"/>
      <c r="VEP2" s="107"/>
      <c r="VEQ2" s="107"/>
      <c r="VER2" s="107"/>
      <c r="VES2" s="107"/>
      <c r="VET2" s="107"/>
      <c r="VEU2" s="107"/>
      <c r="VEV2" s="107"/>
      <c r="VEW2" s="107"/>
      <c r="VEX2" s="107"/>
      <c r="VEY2" s="107"/>
      <c r="VEZ2" s="107"/>
      <c r="VFA2" s="107"/>
      <c r="VFB2" s="107"/>
      <c r="VFC2" s="107"/>
      <c r="VFD2" s="107"/>
      <c r="VFE2" s="107"/>
      <c r="VFF2" s="107"/>
      <c r="VFG2" s="107"/>
      <c r="VFH2" s="107"/>
      <c r="VFI2" s="107"/>
      <c r="VFJ2" s="107"/>
      <c r="VFK2" s="107"/>
      <c r="VFL2" s="107"/>
      <c r="VFM2" s="107"/>
      <c r="VFN2" s="107"/>
      <c r="VFO2" s="107"/>
      <c r="VFP2" s="107"/>
      <c r="VFQ2" s="107"/>
      <c r="VFR2" s="107"/>
      <c r="VFS2" s="107"/>
      <c r="VFT2" s="107"/>
      <c r="VFU2" s="107"/>
      <c r="VFV2" s="107"/>
      <c r="VFW2" s="107"/>
      <c r="VFX2" s="107"/>
      <c r="VFY2" s="107"/>
      <c r="VFZ2" s="107"/>
      <c r="VGA2" s="107"/>
      <c r="VGB2" s="107"/>
      <c r="VGC2" s="107"/>
      <c r="VGD2" s="107"/>
      <c r="VGE2" s="107"/>
      <c r="VGF2" s="107"/>
      <c r="VGG2" s="107"/>
      <c r="VGH2" s="107"/>
      <c r="VGI2" s="107"/>
      <c r="VGJ2" s="107"/>
      <c r="VGK2" s="107"/>
      <c r="VGL2" s="107"/>
      <c r="VGM2" s="107"/>
      <c r="VGN2" s="107"/>
      <c r="VGO2" s="107"/>
      <c r="VGP2" s="107"/>
      <c r="VGQ2" s="107"/>
      <c r="VGR2" s="107"/>
      <c r="VGS2" s="107"/>
      <c r="VGT2" s="107"/>
      <c r="VGU2" s="107"/>
      <c r="VGV2" s="107"/>
      <c r="VGW2" s="107"/>
      <c r="VGX2" s="107"/>
      <c r="VGY2" s="107"/>
      <c r="VGZ2" s="107"/>
      <c r="VHA2" s="107"/>
      <c r="VHB2" s="107"/>
      <c r="VHC2" s="107"/>
      <c r="VHD2" s="107"/>
      <c r="VHE2" s="107"/>
      <c r="VHF2" s="107"/>
      <c r="VHG2" s="107"/>
      <c r="VHH2" s="107"/>
      <c r="VHI2" s="107"/>
      <c r="VHJ2" s="107"/>
      <c r="VHK2" s="107"/>
      <c r="VHL2" s="107"/>
      <c r="VHM2" s="107"/>
      <c r="VHN2" s="107"/>
      <c r="VHO2" s="107"/>
      <c r="VHP2" s="107"/>
      <c r="VHQ2" s="107"/>
      <c r="VHR2" s="107"/>
      <c r="VHS2" s="107"/>
      <c r="VHT2" s="107"/>
      <c r="VHU2" s="107"/>
      <c r="VHV2" s="107"/>
      <c r="VHW2" s="107"/>
      <c r="VHX2" s="107"/>
      <c r="VHY2" s="107"/>
      <c r="VHZ2" s="107"/>
      <c r="VIA2" s="107"/>
      <c r="VIB2" s="107"/>
      <c r="VIC2" s="107"/>
      <c r="VID2" s="107"/>
      <c r="VIE2" s="107"/>
      <c r="VIF2" s="107"/>
      <c r="VIG2" s="107"/>
      <c r="VIH2" s="107"/>
      <c r="VII2" s="107"/>
      <c r="VIJ2" s="107"/>
      <c r="VIK2" s="107"/>
      <c r="VIL2" s="107"/>
      <c r="VIM2" s="107"/>
      <c r="VIN2" s="107"/>
      <c r="VIO2" s="107"/>
      <c r="VIP2" s="107"/>
      <c r="VIQ2" s="107"/>
      <c r="VIR2" s="107"/>
      <c r="VIS2" s="107"/>
      <c r="VIT2" s="107"/>
      <c r="VIU2" s="107"/>
      <c r="VIV2" s="107"/>
      <c r="VIW2" s="107"/>
      <c r="VIX2" s="107"/>
      <c r="VIY2" s="107"/>
      <c r="VIZ2" s="107"/>
      <c r="VJA2" s="107"/>
      <c r="VJB2" s="107"/>
      <c r="VJC2" s="107"/>
      <c r="VJD2" s="107"/>
      <c r="VJE2" s="107"/>
      <c r="VJF2" s="107"/>
      <c r="VJG2" s="107"/>
      <c r="VJH2" s="107"/>
      <c r="VJI2" s="107"/>
      <c r="VJJ2" s="107"/>
      <c r="VJK2" s="107"/>
      <c r="VJL2" s="107"/>
      <c r="VJM2" s="107"/>
      <c r="VJN2" s="107"/>
      <c r="VJO2" s="107"/>
      <c r="VJP2" s="107"/>
      <c r="VJQ2" s="107"/>
      <c r="VJR2" s="107"/>
      <c r="VJS2" s="107"/>
      <c r="VJT2" s="107"/>
      <c r="VJU2" s="107"/>
      <c r="VJV2" s="107"/>
      <c r="VJW2" s="107"/>
      <c r="VJX2" s="107"/>
      <c r="VJY2" s="107"/>
      <c r="VJZ2" s="107"/>
      <c r="VKA2" s="107"/>
      <c r="VKB2" s="107"/>
      <c r="VKC2" s="107"/>
      <c r="VKD2" s="107"/>
      <c r="VKE2" s="107"/>
      <c r="VKF2" s="107"/>
      <c r="VKG2" s="107"/>
      <c r="VKH2" s="107"/>
      <c r="VKI2" s="107"/>
      <c r="VKJ2" s="107"/>
      <c r="VKK2" s="107"/>
      <c r="VKL2" s="107"/>
      <c r="VKM2" s="107"/>
      <c r="VKN2" s="107"/>
      <c r="VKO2" s="107"/>
      <c r="VKP2" s="107"/>
      <c r="VKQ2" s="107"/>
      <c r="VKR2" s="107"/>
      <c r="VKS2" s="107"/>
      <c r="VKT2" s="107"/>
      <c r="VKU2" s="107"/>
      <c r="VKV2" s="107"/>
      <c r="VKW2" s="107"/>
      <c r="VKX2" s="107"/>
      <c r="VKY2" s="107"/>
      <c r="VKZ2" s="107"/>
      <c r="VLA2" s="107"/>
      <c r="VLB2" s="107"/>
      <c r="VLC2" s="107"/>
      <c r="VLD2" s="107"/>
      <c r="VLE2" s="107"/>
      <c r="VLF2" s="107"/>
      <c r="VLG2" s="107"/>
      <c r="VLH2" s="107"/>
      <c r="VLI2" s="107"/>
      <c r="VLJ2" s="107"/>
      <c r="VLK2" s="107"/>
      <c r="VLL2" s="107"/>
      <c r="VLM2" s="107"/>
      <c r="VLN2" s="107"/>
      <c r="VLO2" s="107"/>
      <c r="VLP2" s="107"/>
      <c r="VLQ2" s="107"/>
      <c r="VLR2" s="107"/>
      <c r="VLS2" s="107"/>
      <c r="VLT2" s="107"/>
      <c r="VLU2" s="107"/>
      <c r="VLV2" s="107"/>
      <c r="VLW2" s="107"/>
      <c r="VLX2" s="107"/>
      <c r="VLY2" s="107"/>
      <c r="VLZ2" s="107"/>
      <c r="VMA2" s="107"/>
      <c r="VMB2" s="107"/>
      <c r="VMC2" s="107"/>
      <c r="VMD2" s="107"/>
      <c r="VME2" s="107"/>
      <c r="VMF2" s="107"/>
      <c r="VMG2" s="107"/>
      <c r="VMH2" s="107"/>
      <c r="VMI2" s="107"/>
      <c r="VMJ2" s="107"/>
      <c r="VMK2" s="107"/>
      <c r="VML2" s="107"/>
      <c r="VMM2" s="107"/>
      <c r="VMN2" s="107"/>
      <c r="VMO2" s="107"/>
      <c r="VMP2" s="107"/>
      <c r="VMQ2" s="107"/>
      <c r="VMR2" s="107"/>
      <c r="VMS2" s="107"/>
      <c r="VMT2" s="107"/>
      <c r="VMU2" s="107"/>
      <c r="VMV2" s="107"/>
      <c r="VMW2" s="107"/>
      <c r="VMX2" s="107"/>
      <c r="VMY2" s="107"/>
      <c r="VMZ2" s="107"/>
      <c r="VNA2" s="107"/>
      <c r="VNB2" s="107"/>
      <c r="VNC2" s="107"/>
      <c r="VND2" s="107"/>
      <c r="VNE2" s="107"/>
      <c r="VNF2" s="107"/>
      <c r="VNG2" s="107"/>
      <c r="VNH2" s="107"/>
      <c r="VNI2" s="107"/>
      <c r="VNJ2" s="107"/>
      <c r="VNK2" s="107"/>
      <c r="VNL2" s="107"/>
      <c r="VNM2" s="107"/>
      <c r="VNN2" s="107"/>
      <c r="VNO2" s="107"/>
      <c r="VNP2" s="107"/>
      <c r="VNQ2" s="107"/>
      <c r="VNR2" s="107"/>
      <c r="VNS2" s="107"/>
      <c r="VNT2" s="107"/>
      <c r="VNU2" s="107"/>
      <c r="VNV2" s="107"/>
      <c r="VNW2" s="107"/>
      <c r="VNX2" s="107"/>
      <c r="VNY2" s="107"/>
      <c r="VNZ2" s="107"/>
      <c r="VOA2" s="107"/>
      <c r="VOB2" s="107"/>
      <c r="VOC2" s="107"/>
      <c r="VOD2" s="107"/>
      <c r="VOE2" s="107"/>
      <c r="VOF2" s="107"/>
      <c r="VOG2" s="107"/>
      <c r="VOH2" s="107"/>
      <c r="VOI2" s="107"/>
      <c r="VOJ2" s="107"/>
      <c r="VOK2" s="107"/>
      <c r="VOL2" s="107"/>
      <c r="VOM2" s="107"/>
      <c r="VON2" s="107"/>
      <c r="VOO2" s="107"/>
      <c r="VOP2" s="107"/>
      <c r="VOQ2" s="107"/>
      <c r="VOR2" s="107"/>
      <c r="VOS2" s="107"/>
      <c r="VOT2" s="107"/>
      <c r="VOU2" s="107"/>
      <c r="VOV2" s="107"/>
      <c r="VOW2" s="107"/>
      <c r="VOX2" s="107"/>
      <c r="VOY2" s="107"/>
      <c r="VOZ2" s="107"/>
      <c r="VPA2" s="107"/>
      <c r="VPB2" s="107"/>
      <c r="VPC2" s="107"/>
      <c r="VPD2" s="107"/>
      <c r="VPE2" s="107"/>
      <c r="VPF2" s="107"/>
      <c r="VPG2" s="107"/>
      <c r="VPH2" s="107"/>
      <c r="VPI2" s="107"/>
      <c r="VPJ2" s="107"/>
      <c r="VPK2" s="107"/>
      <c r="VPL2" s="107"/>
      <c r="VPM2" s="107"/>
      <c r="VPN2" s="107"/>
      <c r="VPO2" s="107"/>
      <c r="VPP2" s="107"/>
      <c r="VPQ2" s="107"/>
      <c r="VPR2" s="107"/>
      <c r="VPS2" s="107"/>
      <c r="VPT2" s="107"/>
      <c r="VPU2" s="107"/>
      <c r="VPV2" s="107"/>
      <c r="VPW2" s="107"/>
      <c r="VPX2" s="107"/>
      <c r="VPY2" s="107"/>
      <c r="VPZ2" s="107"/>
      <c r="VQA2" s="107"/>
      <c r="VQB2" s="107"/>
      <c r="VQC2" s="107"/>
      <c r="VQD2" s="107"/>
      <c r="VQE2" s="107"/>
      <c r="VQF2" s="107"/>
      <c r="VQG2" s="107"/>
      <c r="VQH2" s="107"/>
      <c r="VQI2" s="107"/>
      <c r="VQJ2" s="107"/>
      <c r="VQK2" s="107"/>
      <c r="VQL2" s="107"/>
      <c r="VQM2" s="107"/>
      <c r="VQN2" s="107"/>
      <c r="VQO2" s="107"/>
      <c r="VQP2" s="107"/>
      <c r="VQQ2" s="107"/>
      <c r="VQR2" s="107"/>
      <c r="VQS2" s="107"/>
      <c r="VQT2" s="107"/>
      <c r="VQU2" s="107"/>
      <c r="VQV2" s="107"/>
      <c r="VQW2" s="107"/>
      <c r="VQX2" s="107"/>
      <c r="VQY2" s="107"/>
      <c r="VQZ2" s="107"/>
      <c r="VRA2" s="107"/>
      <c r="VRB2" s="107"/>
      <c r="VRC2" s="107"/>
      <c r="VRD2" s="107"/>
      <c r="VRE2" s="107"/>
      <c r="VRF2" s="107"/>
      <c r="VRG2" s="107"/>
      <c r="VRH2" s="107"/>
      <c r="VRI2" s="107"/>
      <c r="VRJ2" s="107"/>
      <c r="VRK2" s="107"/>
      <c r="VRL2" s="107"/>
      <c r="VRM2" s="107"/>
      <c r="VRN2" s="107"/>
      <c r="VRO2" s="107"/>
      <c r="VRP2" s="107"/>
      <c r="VRQ2" s="107"/>
      <c r="VRR2" s="107"/>
      <c r="VRS2" s="107"/>
      <c r="VRT2" s="107"/>
      <c r="VRU2" s="107"/>
      <c r="VRV2" s="107"/>
      <c r="VRW2" s="107"/>
      <c r="VRX2" s="107"/>
      <c r="VRY2" s="107"/>
      <c r="VRZ2" s="107"/>
      <c r="VSA2" s="107"/>
      <c r="VSB2" s="107"/>
      <c r="VSC2" s="107"/>
      <c r="VSD2" s="107"/>
      <c r="VSE2" s="107"/>
      <c r="VSF2" s="107"/>
      <c r="VSG2" s="107"/>
      <c r="VSH2" s="107"/>
      <c r="VSI2" s="107"/>
      <c r="VSJ2" s="107"/>
      <c r="VSK2" s="107"/>
      <c r="VSL2" s="107"/>
      <c r="VSM2" s="107"/>
      <c r="VSN2" s="107"/>
      <c r="VSO2" s="107"/>
      <c r="VSP2" s="107"/>
      <c r="VSQ2" s="107"/>
      <c r="VSR2" s="107"/>
      <c r="VSS2" s="107"/>
      <c r="VST2" s="107"/>
      <c r="VSU2" s="107"/>
      <c r="VSV2" s="107"/>
      <c r="VSW2" s="107"/>
      <c r="VSX2" s="107"/>
      <c r="VSY2" s="107"/>
      <c r="VSZ2" s="107"/>
      <c r="VTA2" s="107"/>
      <c r="VTB2" s="107"/>
      <c r="VTC2" s="107"/>
      <c r="VTD2" s="107"/>
      <c r="VTE2" s="107"/>
      <c r="VTF2" s="107"/>
      <c r="VTG2" s="107"/>
      <c r="VTH2" s="107"/>
      <c r="VTI2" s="107"/>
      <c r="VTJ2" s="107"/>
      <c r="VTK2" s="107"/>
      <c r="VTL2" s="107"/>
      <c r="VTM2" s="107"/>
      <c r="VTN2" s="107"/>
      <c r="VTO2" s="107"/>
      <c r="VTP2" s="107"/>
      <c r="VTQ2" s="107"/>
      <c r="VTR2" s="107"/>
      <c r="VTS2" s="107"/>
      <c r="VTT2" s="107"/>
      <c r="VTU2" s="107"/>
      <c r="VTV2" s="107"/>
      <c r="VTW2" s="107"/>
      <c r="VTX2" s="107"/>
      <c r="VTY2" s="107"/>
      <c r="VTZ2" s="107"/>
      <c r="VUA2" s="107"/>
      <c r="VUB2" s="107"/>
      <c r="VUC2" s="107"/>
      <c r="VUD2" s="107"/>
      <c r="VUE2" s="107"/>
      <c r="VUF2" s="107"/>
      <c r="VUG2" s="107"/>
      <c r="VUH2" s="107"/>
      <c r="VUI2" s="107"/>
      <c r="VUJ2" s="107"/>
      <c r="VUK2" s="107"/>
      <c r="VUL2" s="107"/>
      <c r="VUM2" s="107"/>
      <c r="VUN2" s="107"/>
      <c r="VUO2" s="107"/>
      <c r="VUP2" s="107"/>
      <c r="VUQ2" s="107"/>
      <c r="VUR2" s="107"/>
      <c r="VUS2" s="107"/>
      <c r="VUT2" s="107"/>
      <c r="VUU2" s="107"/>
      <c r="VUV2" s="107"/>
      <c r="VUW2" s="107"/>
      <c r="VUX2" s="107"/>
      <c r="VUY2" s="107"/>
      <c r="VUZ2" s="107"/>
      <c r="VVA2" s="107"/>
      <c r="VVB2" s="107"/>
      <c r="VVC2" s="107"/>
      <c r="VVD2" s="107"/>
      <c r="VVE2" s="107"/>
      <c r="VVF2" s="107"/>
      <c r="VVG2" s="107"/>
      <c r="VVH2" s="107"/>
      <c r="VVI2" s="107"/>
      <c r="VVJ2" s="107"/>
      <c r="VVK2" s="107"/>
      <c r="VVL2" s="107"/>
      <c r="VVM2" s="107"/>
      <c r="VVN2" s="107"/>
      <c r="VVO2" s="107"/>
      <c r="VVP2" s="107"/>
      <c r="VVQ2" s="107"/>
      <c r="VVR2" s="107"/>
      <c r="VVS2" s="107"/>
      <c r="VVT2" s="107"/>
      <c r="VVU2" s="107"/>
      <c r="VVV2" s="107"/>
      <c r="VVW2" s="107"/>
      <c r="VVX2" s="107"/>
      <c r="VVY2" s="107"/>
      <c r="VVZ2" s="107"/>
      <c r="VWA2" s="107"/>
      <c r="VWB2" s="107"/>
      <c r="VWC2" s="107"/>
      <c r="VWD2" s="107"/>
      <c r="VWE2" s="107"/>
      <c r="VWF2" s="107"/>
      <c r="VWG2" s="107"/>
      <c r="VWH2" s="107"/>
      <c r="VWI2" s="107"/>
      <c r="VWJ2" s="107"/>
      <c r="VWK2" s="107"/>
      <c r="VWL2" s="107"/>
      <c r="VWM2" s="107"/>
      <c r="VWN2" s="107"/>
      <c r="VWO2" s="107"/>
      <c r="VWP2" s="107"/>
      <c r="VWQ2" s="107"/>
      <c r="VWR2" s="107"/>
      <c r="VWS2" s="107"/>
      <c r="VWT2" s="107"/>
      <c r="VWU2" s="107"/>
      <c r="VWV2" s="107"/>
      <c r="VWW2" s="107"/>
      <c r="VWX2" s="107"/>
      <c r="VWY2" s="107"/>
      <c r="VWZ2" s="107"/>
      <c r="VXA2" s="107"/>
      <c r="VXB2" s="107"/>
      <c r="VXC2" s="107"/>
      <c r="VXD2" s="107"/>
      <c r="VXE2" s="107"/>
      <c r="VXF2" s="107"/>
      <c r="VXG2" s="107"/>
      <c r="VXH2" s="107"/>
      <c r="VXI2" s="107"/>
      <c r="VXJ2" s="107"/>
      <c r="VXK2" s="107"/>
      <c r="VXL2" s="107"/>
      <c r="VXM2" s="107"/>
      <c r="VXN2" s="107"/>
      <c r="VXO2" s="107"/>
      <c r="VXP2" s="107"/>
      <c r="VXQ2" s="107"/>
      <c r="VXR2" s="107"/>
      <c r="VXS2" s="107"/>
      <c r="VXT2" s="107"/>
      <c r="VXU2" s="107"/>
      <c r="VXV2" s="107"/>
      <c r="VXW2" s="107"/>
      <c r="VXX2" s="107"/>
      <c r="VXY2" s="107"/>
      <c r="VXZ2" s="107"/>
      <c r="VYA2" s="107"/>
      <c r="VYB2" s="107"/>
      <c r="VYC2" s="107"/>
      <c r="VYD2" s="107"/>
      <c r="VYE2" s="107"/>
      <c r="VYF2" s="107"/>
      <c r="VYG2" s="107"/>
      <c r="VYH2" s="107"/>
      <c r="VYI2" s="107"/>
      <c r="VYJ2" s="107"/>
      <c r="VYK2" s="107"/>
      <c r="VYL2" s="107"/>
      <c r="VYM2" s="107"/>
      <c r="VYN2" s="107"/>
      <c r="VYO2" s="107"/>
      <c r="VYP2" s="107"/>
      <c r="VYQ2" s="107"/>
      <c r="VYR2" s="107"/>
      <c r="VYS2" s="107"/>
      <c r="VYT2" s="107"/>
      <c r="VYU2" s="107"/>
      <c r="VYV2" s="107"/>
      <c r="VYW2" s="107"/>
      <c r="VYX2" s="107"/>
      <c r="VYY2" s="107"/>
      <c r="VYZ2" s="107"/>
      <c r="VZA2" s="107"/>
      <c r="VZB2" s="107"/>
      <c r="VZC2" s="107"/>
      <c r="VZD2" s="107"/>
      <c r="VZE2" s="107"/>
      <c r="VZF2" s="107"/>
      <c r="VZG2" s="107"/>
      <c r="VZH2" s="107"/>
      <c r="VZI2" s="107"/>
      <c r="VZJ2" s="107"/>
      <c r="VZK2" s="107"/>
      <c r="VZL2" s="107"/>
      <c r="VZM2" s="107"/>
      <c r="VZN2" s="107"/>
      <c r="VZO2" s="107"/>
      <c r="VZP2" s="107"/>
      <c r="VZQ2" s="107"/>
      <c r="VZR2" s="107"/>
      <c r="VZS2" s="107"/>
      <c r="VZT2" s="107"/>
      <c r="VZU2" s="107"/>
      <c r="VZV2" s="107"/>
      <c r="VZW2" s="107"/>
      <c r="VZX2" s="107"/>
      <c r="VZY2" s="107"/>
      <c r="VZZ2" s="107"/>
      <c r="WAA2" s="107"/>
      <c r="WAB2" s="107"/>
      <c r="WAC2" s="107"/>
      <c r="WAD2" s="107"/>
      <c r="WAE2" s="107"/>
      <c r="WAF2" s="107"/>
      <c r="WAG2" s="107"/>
      <c r="WAH2" s="107"/>
      <c r="WAI2" s="107"/>
      <c r="WAJ2" s="107"/>
      <c r="WAK2" s="107"/>
      <c r="WAL2" s="107"/>
      <c r="WAM2" s="107"/>
      <c r="WAN2" s="107"/>
      <c r="WAO2" s="107"/>
      <c r="WAP2" s="107"/>
      <c r="WAQ2" s="107"/>
      <c r="WAR2" s="107"/>
      <c r="WAS2" s="107"/>
      <c r="WAT2" s="107"/>
      <c r="WAU2" s="107"/>
      <c r="WAV2" s="107"/>
      <c r="WAW2" s="107"/>
      <c r="WAX2" s="107"/>
      <c r="WAY2" s="107"/>
      <c r="WAZ2" s="107"/>
      <c r="WBA2" s="107"/>
      <c r="WBB2" s="107"/>
      <c r="WBC2" s="107"/>
      <c r="WBD2" s="107"/>
      <c r="WBE2" s="107"/>
      <c r="WBF2" s="107"/>
      <c r="WBG2" s="107"/>
      <c r="WBH2" s="107"/>
      <c r="WBI2" s="107"/>
      <c r="WBJ2" s="107"/>
      <c r="WBK2" s="107"/>
      <c r="WBL2" s="107"/>
      <c r="WBM2" s="107"/>
      <c r="WBN2" s="107"/>
      <c r="WBO2" s="107"/>
      <c r="WBP2" s="107"/>
      <c r="WBQ2" s="107"/>
      <c r="WBR2" s="107"/>
      <c r="WBS2" s="107"/>
      <c r="WBT2" s="107"/>
      <c r="WBU2" s="107"/>
      <c r="WBV2" s="107"/>
      <c r="WBW2" s="107"/>
      <c r="WBX2" s="107"/>
      <c r="WBY2" s="107"/>
      <c r="WBZ2" s="107"/>
      <c r="WCA2" s="107"/>
      <c r="WCB2" s="107"/>
      <c r="WCC2" s="107"/>
      <c r="WCD2" s="107"/>
      <c r="WCE2" s="107"/>
      <c r="WCF2" s="107"/>
      <c r="WCG2" s="107"/>
      <c r="WCH2" s="107"/>
      <c r="WCI2" s="107"/>
      <c r="WCJ2" s="107"/>
      <c r="WCK2" s="107"/>
      <c r="WCL2" s="107"/>
      <c r="WCM2" s="107"/>
      <c r="WCN2" s="107"/>
      <c r="WCO2" s="107"/>
      <c r="WCP2" s="107"/>
      <c r="WCQ2" s="107"/>
      <c r="WCR2" s="107"/>
      <c r="WCS2" s="107"/>
      <c r="WCT2" s="107"/>
      <c r="WCU2" s="107"/>
      <c r="WCV2" s="107"/>
      <c r="WCW2" s="107"/>
      <c r="WCX2" s="107"/>
      <c r="WCY2" s="107"/>
      <c r="WCZ2" s="107"/>
      <c r="WDA2" s="107"/>
      <c r="WDB2" s="107"/>
      <c r="WDC2" s="107"/>
      <c r="WDD2" s="107"/>
      <c r="WDE2" s="107"/>
      <c r="WDF2" s="107"/>
      <c r="WDG2" s="107"/>
      <c r="WDH2" s="107"/>
      <c r="WDI2" s="107"/>
      <c r="WDJ2" s="107"/>
      <c r="WDK2" s="107"/>
      <c r="WDL2" s="107"/>
      <c r="WDM2" s="107"/>
      <c r="WDN2" s="107"/>
      <c r="WDO2" s="107"/>
      <c r="WDP2" s="107"/>
      <c r="WDQ2" s="107"/>
      <c r="WDR2" s="107"/>
      <c r="WDS2" s="107"/>
      <c r="WDT2" s="107"/>
      <c r="WDU2" s="107"/>
      <c r="WDV2" s="107"/>
      <c r="WDW2" s="107"/>
      <c r="WDX2" s="107"/>
      <c r="WDY2" s="107"/>
      <c r="WDZ2" s="107"/>
      <c r="WEA2" s="107"/>
      <c r="WEB2" s="107"/>
      <c r="WEC2" s="107"/>
      <c r="WED2" s="107"/>
      <c r="WEE2" s="107"/>
      <c r="WEF2" s="107"/>
      <c r="WEG2" s="107"/>
      <c r="WEH2" s="107"/>
      <c r="WEI2" s="107"/>
      <c r="WEJ2" s="107"/>
      <c r="WEK2" s="107"/>
      <c r="WEL2" s="107"/>
      <c r="WEM2" s="107"/>
      <c r="WEN2" s="107"/>
      <c r="WEO2" s="107"/>
      <c r="WEP2" s="107"/>
      <c r="WEQ2" s="107"/>
      <c r="WER2" s="107"/>
      <c r="WES2" s="107"/>
      <c r="WET2" s="107"/>
      <c r="WEU2" s="107"/>
      <c r="WEV2" s="107"/>
      <c r="WEW2" s="107"/>
      <c r="WEX2" s="107"/>
      <c r="WEY2" s="107"/>
      <c r="WEZ2" s="107"/>
      <c r="WFA2" s="107"/>
      <c r="WFB2" s="107"/>
      <c r="WFC2" s="107"/>
      <c r="WFD2" s="107"/>
      <c r="WFE2" s="107"/>
      <c r="WFF2" s="107"/>
      <c r="WFG2" s="107"/>
      <c r="WFH2" s="107"/>
      <c r="WFI2" s="107"/>
      <c r="WFJ2" s="107"/>
      <c r="WFK2" s="107"/>
      <c r="WFL2" s="107"/>
      <c r="WFM2" s="107"/>
      <c r="WFN2" s="107"/>
      <c r="WFO2" s="107"/>
      <c r="WFP2" s="107"/>
      <c r="WFQ2" s="107"/>
      <c r="WFR2" s="107"/>
      <c r="WFS2" s="107"/>
      <c r="WFT2" s="107"/>
      <c r="WFU2" s="107"/>
      <c r="WFV2" s="107"/>
      <c r="WFW2" s="107"/>
      <c r="WFX2" s="107"/>
      <c r="WFY2" s="107"/>
      <c r="WFZ2" s="107"/>
      <c r="WGA2" s="107"/>
      <c r="WGB2" s="107"/>
      <c r="WGC2" s="107"/>
      <c r="WGD2" s="107"/>
      <c r="WGE2" s="107"/>
      <c r="WGF2" s="107"/>
      <c r="WGG2" s="107"/>
      <c r="WGH2" s="107"/>
      <c r="WGI2" s="107"/>
      <c r="WGJ2" s="107"/>
      <c r="WGK2" s="107"/>
      <c r="WGL2" s="107"/>
      <c r="WGM2" s="107"/>
      <c r="WGN2" s="107"/>
      <c r="WGO2" s="107"/>
      <c r="WGP2" s="107"/>
      <c r="WGQ2" s="107"/>
      <c r="WGR2" s="107"/>
      <c r="WGS2" s="107"/>
      <c r="WGT2" s="107"/>
      <c r="WGU2" s="107"/>
      <c r="WGV2" s="107"/>
      <c r="WGW2" s="107"/>
      <c r="WGX2" s="107"/>
      <c r="WGY2" s="107"/>
      <c r="WGZ2" s="107"/>
      <c r="WHA2" s="107"/>
      <c r="WHB2" s="107"/>
      <c r="WHC2" s="107"/>
      <c r="WHD2" s="107"/>
      <c r="WHE2" s="107"/>
      <c r="WHF2" s="107"/>
      <c r="WHG2" s="107"/>
      <c r="WHH2" s="107"/>
      <c r="WHI2" s="107"/>
      <c r="WHJ2" s="107"/>
      <c r="WHK2" s="107"/>
      <c r="WHL2" s="107"/>
      <c r="WHM2" s="107"/>
      <c r="WHN2" s="107"/>
      <c r="WHO2" s="107"/>
      <c r="WHP2" s="107"/>
      <c r="WHQ2" s="107"/>
      <c r="WHR2" s="107"/>
      <c r="WHS2" s="107"/>
      <c r="WHT2" s="107"/>
      <c r="WHU2" s="107"/>
      <c r="WHV2" s="107"/>
      <c r="WHW2" s="107"/>
      <c r="WHX2" s="107"/>
      <c r="WHY2" s="107"/>
      <c r="WHZ2" s="107"/>
      <c r="WIA2" s="107"/>
      <c r="WIB2" s="107"/>
      <c r="WIC2" s="107"/>
      <c r="WID2" s="107"/>
      <c r="WIE2" s="107"/>
      <c r="WIF2" s="107"/>
      <c r="WIG2" s="107"/>
      <c r="WIH2" s="107"/>
      <c r="WII2" s="107"/>
      <c r="WIJ2" s="107"/>
      <c r="WIK2" s="107"/>
      <c r="WIL2" s="107"/>
      <c r="WIM2" s="107"/>
      <c r="WIN2" s="107"/>
      <c r="WIO2" s="107"/>
      <c r="WIP2" s="107"/>
      <c r="WIQ2" s="107"/>
      <c r="WIR2" s="107"/>
      <c r="WIS2" s="107"/>
      <c r="WIT2" s="107"/>
      <c r="WIU2" s="107"/>
      <c r="WIV2" s="107"/>
      <c r="WIW2" s="107"/>
      <c r="WIX2" s="107"/>
      <c r="WIY2" s="107"/>
      <c r="WIZ2" s="107"/>
      <c r="WJA2" s="107"/>
      <c r="WJB2" s="107"/>
      <c r="WJC2" s="107"/>
      <c r="WJD2" s="107"/>
      <c r="WJE2" s="107"/>
      <c r="WJF2" s="107"/>
      <c r="WJG2" s="107"/>
      <c r="WJH2" s="107"/>
      <c r="WJI2" s="107"/>
      <c r="WJJ2" s="107"/>
      <c r="WJK2" s="107"/>
      <c r="WJL2" s="107"/>
      <c r="WJM2" s="107"/>
      <c r="WJN2" s="107"/>
      <c r="WJO2" s="107"/>
      <c r="WJP2" s="107"/>
      <c r="WJQ2" s="107"/>
      <c r="WJR2" s="107"/>
      <c r="WJS2" s="107"/>
      <c r="WJT2" s="107"/>
      <c r="WJU2" s="107"/>
      <c r="WJV2" s="107"/>
      <c r="WJW2" s="107"/>
      <c r="WJX2" s="107"/>
      <c r="WJY2" s="107"/>
      <c r="WJZ2" s="107"/>
      <c r="WKA2" s="107"/>
      <c r="WKB2" s="107"/>
      <c r="WKC2" s="107"/>
      <c r="WKD2" s="107"/>
      <c r="WKE2" s="107"/>
      <c r="WKF2" s="107"/>
      <c r="WKG2" s="107"/>
      <c r="WKH2" s="107"/>
      <c r="WKI2" s="107"/>
      <c r="WKJ2" s="107"/>
      <c r="WKK2" s="107"/>
      <c r="WKL2" s="107"/>
      <c r="WKM2" s="107"/>
      <c r="WKN2" s="107"/>
      <c r="WKO2" s="107"/>
      <c r="WKP2" s="107"/>
      <c r="WKQ2" s="107"/>
      <c r="WKR2" s="107"/>
      <c r="WKS2" s="107"/>
      <c r="WKT2" s="107"/>
      <c r="WKU2" s="107"/>
      <c r="WKV2" s="107"/>
      <c r="WKW2" s="107"/>
      <c r="WKX2" s="107"/>
      <c r="WKY2" s="107"/>
      <c r="WKZ2" s="107"/>
      <c r="WLA2" s="107"/>
      <c r="WLB2" s="107"/>
      <c r="WLC2" s="107"/>
      <c r="WLD2" s="107"/>
      <c r="WLE2" s="107"/>
      <c r="WLF2" s="107"/>
      <c r="WLG2" s="107"/>
      <c r="WLH2" s="107"/>
      <c r="WLI2" s="107"/>
      <c r="WLJ2" s="107"/>
      <c r="WLK2" s="107"/>
      <c r="WLL2" s="107"/>
      <c r="WLM2" s="107"/>
      <c r="WLN2" s="107"/>
      <c r="WLO2" s="107"/>
      <c r="WLP2" s="107"/>
      <c r="WLQ2" s="107"/>
      <c r="WLR2" s="107"/>
      <c r="WLS2" s="107"/>
      <c r="WLT2" s="107"/>
      <c r="WLU2" s="107"/>
      <c r="WLV2" s="107"/>
      <c r="WLW2" s="107"/>
      <c r="WLX2" s="107"/>
      <c r="WLY2" s="107"/>
      <c r="WLZ2" s="107"/>
      <c r="WMA2" s="107"/>
      <c r="WMB2" s="107"/>
      <c r="WMC2" s="107"/>
      <c r="WMD2" s="107"/>
      <c r="WME2" s="107"/>
      <c r="WMF2" s="107"/>
      <c r="WMG2" s="107"/>
      <c r="WMH2" s="107"/>
      <c r="WMI2" s="107"/>
      <c r="WMJ2" s="107"/>
      <c r="WMK2" s="107"/>
      <c r="WML2" s="107"/>
      <c r="WMM2" s="107"/>
      <c r="WMN2" s="107"/>
      <c r="WMO2" s="107"/>
      <c r="WMP2" s="107"/>
      <c r="WMQ2" s="107"/>
      <c r="WMR2" s="107"/>
      <c r="WMS2" s="107"/>
      <c r="WMT2" s="107"/>
      <c r="WMU2" s="107"/>
      <c r="WMV2" s="107"/>
      <c r="WMW2" s="107"/>
      <c r="WMX2" s="107"/>
      <c r="WMY2" s="107"/>
      <c r="WMZ2" s="107"/>
      <c r="WNA2" s="107"/>
      <c r="WNB2" s="107"/>
      <c r="WNC2" s="107"/>
      <c r="WND2" s="107"/>
      <c r="WNE2" s="107"/>
      <c r="WNF2" s="107"/>
      <c r="WNG2" s="107"/>
      <c r="WNH2" s="107"/>
      <c r="WNI2" s="107"/>
      <c r="WNJ2" s="107"/>
      <c r="WNK2" s="107"/>
      <c r="WNL2" s="107"/>
      <c r="WNM2" s="107"/>
      <c r="WNN2" s="107"/>
      <c r="WNO2" s="107"/>
      <c r="WNP2" s="107"/>
      <c r="WNQ2" s="107"/>
      <c r="WNR2" s="107"/>
      <c r="WNS2" s="107"/>
      <c r="WNT2" s="107"/>
      <c r="WNU2" s="107"/>
      <c r="WNV2" s="107"/>
      <c r="WNW2" s="107"/>
      <c r="WNX2" s="107"/>
      <c r="WNY2" s="107"/>
      <c r="WNZ2" s="107"/>
      <c r="WOA2" s="107"/>
      <c r="WOB2" s="107"/>
      <c r="WOC2" s="107"/>
      <c r="WOD2" s="107"/>
      <c r="WOE2" s="107"/>
      <c r="WOF2" s="107"/>
      <c r="WOG2" s="107"/>
      <c r="WOH2" s="107"/>
      <c r="WOI2" s="107"/>
      <c r="WOJ2" s="107"/>
      <c r="WOK2" s="107"/>
      <c r="WOL2" s="107"/>
      <c r="WOM2" s="107"/>
      <c r="WON2" s="107"/>
      <c r="WOO2" s="107"/>
      <c r="WOP2" s="107"/>
      <c r="WOQ2" s="107"/>
      <c r="WOR2" s="107"/>
      <c r="WOS2" s="107"/>
      <c r="WOT2" s="107"/>
      <c r="WOU2" s="107"/>
      <c r="WOV2" s="107"/>
      <c r="WOW2" s="107"/>
      <c r="WOX2" s="107"/>
      <c r="WOY2" s="107"/>
      <c r="WOZ2" s="107"/>
      <c r="WPA2" s="107"/>
      <c r="WPB2" s="107"/>
      <c r="WPC2" s="107"/>
      <c r="WPD2" s="107"/>
      <c r="WPE2" s="107"/>
      <c r="WPF2" s="107"/>
      <c r="WPG2" s="107"/>
      <c r="WPH2" s="107"/>
      <c r="WPI2" s="107"/>
      <c r="WPJ2" s="107"/>
      <c r="WPK2" s="107"/>
      <c r="WPL2" s="107"/>
      <c r="WPM2" s="107"/>
      <c r="WPN2" s="107"/>
      <c r="WPO2" s="107"/>
      <c r="WPP2" s="107"/>
      <c r="WPQ2" s="107"/>
      <c r="WPR2" s="107"/>
      <c r="WPS2" s="107"/>
      <c r="WPT2" s="107"/>
      <c r="WPU2" s="107"/>
      <c r="WPV2" s="107"/>
      <c r="WPW2" s="107"/>
      <c r="WPX2" s="107"/>
      <c r="WPY2" s="107"/>
      <c r="WPZ2" s="107"/>
      <c r="WQA2" s="107"/>
      <c r="WQB2" s="107"/>
      <c r="WQC2" s="107"/>
      <c r="WQD2" s="107"/>
      <c r="WQE2" s="107"/>
      <c r="WQF2" s="107"/>
      <c r="WQG2" s="107"/>
      <c r="WQH2" s="107"/>
      <c r="WQI2" s="107"/>
      <c r="WQJ2" s="107"/>
      <c r="WQK2" s="107"/>
      <c r="WQL2" s="107"/>
      <c r="WQM2" s="107"/>
      <c r="WQN2" s="107"/>
      <c r="WQO2" s="107"/>
      <c r="WQP2" s="107"/>
      <c r="WQQ2" s="107"/>
      <c r="WQR2" s="107"/>
      <c r="WQS2" s="107"/>
      <c r="WQT2" s="107"/>
      <c r="WQU2" s="107"/>
      <c r="WQV2" s="107"/>
      <c r="WQW2" s="107"/>
      <c r="WQX2" s="107"/>
      <c r="WQY2" s="107"/>
      <c r="WQZ2" s="107"/>
      <c r="WRA2" s="107"/>
      <c r="WRB2" s="107"/>
      <c r="WRC2" s="107"/>
      <c r="WRD2" s="107"/>
      <c r="WRE2" s="107"/>
      <c r="WRF2" s="107"/>
      <c r="WRG2" s="107"/>
      <c r="WRH2" s="107"/>
      <c r="WRI2" s="107"/>
      <c r="WRJ2" s="107"/>
      <c r="WRK2" s="107"/>
      <c r="WRL2" s="107"/>
      <c r="WRM2" s="107"/>
      <c r="WRN2" s="107"/>
      <c r="WRO2" s="107"/>
      <c r="WRP2" s="107"/>
      <c r="WRQ2" s="107"/>
      <c r="WRR2" s="107"/>
      <c r="WRS2" s="107"/>
      <c r="WRT2" s="107"/>
      <c r="WRU2" s="107"/>
      <c r="WRV2" s="107"/>
      <c r="WRW2" s="107"/>
      <c r="WRX2" s="107"/>
      <c r="WRY2" s="107"/>
      <c r="WRZ2" s="107"/>
      <c r="WSA2" s="107"/>
      <c r="WSB2" s="107"/>
      <c r="WSC2" s="107"/>
      <c r="WSD2" s="107"/>
      <c r="WSE2" s="107"/>
      <c r="WSF2" s="107"/>
      <c r="WSG2" s="107"/>
      <c r="WSH2" s="107"/>
      <c r="WSI2" s="107"/>
      <c r="WSJ2" s="107"/>
      <c r="WSK2" s="107"/>
      <c r="WSL2" s="107"/>
      <c r="WSM2" s="107"/>
      <c r="WSN2" s="107"/>
      <c r="WSO2" s="107"/>
      <c r="WSP2" s="107"/>
      <c r="WSQ2" s="107"/>
      <c r="WSR2" s="107"/>
      <c r="WSS2" s="107"/>
      <c r="WST2" s="107"/>
      <c r="WSU2" s="107"/>
      <c r="WSV2" s="107"/>
      <c r="WSW2" s="107"/>
      <c r="WSX2" s="107"/>
      <c r="WSY2" s="107"/>
      <c r="WSZ2" s="107"/>
      <c r="WTA2" s="107"/>
      <c r="WTB2" s="107"/>
      <c r="WTC2" s="107"/>
      <c r="WTD2" s="107"/>
      <c r="WTE2" s="107"/>
      <c r="WTF2" s="107"/>
      <c r="WTG2" s="107"/>
      <c r="WTH2" s="107"/>
      <c r="WTI2" s="107"/>
      <c r="WTJ2" s="107"/>
      <c r="WTK2" s="107"/>
      <c r="WTL2" s="107"/>
      <c r="WTM2" s="107"/>
      <c r="WTN2" s="107"/>
      <c r="WTO2" s="107"/>
      <c r="WTP2" s="107"/>
      <c r="WTQ2" s="107"/>
      <c r="WTR2" s="107"/>
      <c r="WTS2" s="107"/>
      <c r="WTT2" s="107"/>
      <c r="WTU2" s="107"/>
      <c r="WTV2" s="107"/>
      <c r="WTW2" s="107"/>
      <c r="WTX2" s="107"/>
      <c r="WTY2" s="107"/>
      <c r="WTZ2" s="107"/>
      <c r="WUA2" s="107"/>
      <c r="WUB2" s="107"/>
      <c r="WUC2" s="107"/>
      <c r="WUD2" s="107"/>
      <c r="WUE2" s="107"/>
      <c r="WUF2" s="107"/>
      <c r="WUG2" s="107"/>
      <c r="WUH2" s="107"/>
      <c r="WUI2" s="107"/>
      <c r="WUJ2" s="107"/>
      <c r="WUK2" s="107"/>
      <c r="WUL2" s="107"/>
      <c r="WUM2" s="107"/>
      <c r="WUN2" s="107"/>
      <c r="WUO2" s="107"/>
      <c r="WUP2" s="107"/>
      <c r="WUQ2" s="107"/>
      <c r="WUR2" s="107"/>
      <c r="WUS2" s="107"/>
      <c r="WUT2" s="107"/>
      <c r="WUU2" s="107"/>
      <c r="WUV2" s="107"/>
      <c r="WUW2" s="107"/>
      <c r="WUX2" s="107"/>
      <c r="WUY2" s="107"/>
      <c r="WUZ2" s="107"/>
      <c r="WVA2" s="107"/>
      <c r="WVB2" s="107"/>
      <c r="WVC2" s="107"/>
      <c r="WVD2" s="107"/>
      <c r="WVE2" s="107"/>
      <c r="WVF2" s="107"/>
      <c r="WVG2" s="107"/>
      <c r="WVH2" s="107"/>
      <c r="WVI2" s="107"/>
      <c r="WVJ2" s="107"/>
      <c r="WVK2" s="107"/>
      <c r="WVL2" s="107"/>
      <c r="WVM2" s="107"/>
      <c r="WVN2" s="107"/>
      <c r="WVO2" s="107"/>
      <c r="WVP2" s="107"/>
      <c r="WVQ2" s="107"/>
      <c r="WVR2" s="107"/>
      <c r="WVS2" s="107"/>
      <c r="WVT2" s="107"/>
      <c r="WVU2" s="107"/>
      <c r="WVV2" s="107"/>
      <c r="WVW2" s="107"/>
      <c r="WVX2" s="107"/>
      <c r="WVY2" s="107"/>
      <c r="WVZ2" s="107"/>
      <c r="WWA2" s="107"/>
      <c r="WWB2" s="107"/>
      <c r="WWC2" s="107"/>
      <c r="WWD2" s="107"/>
      <c r="WWE2" s="107"/>
      <c r="WWF2" s="107"/>
      <c r="WWG2" s="107"/>
      <c r="WWH2" s="107"/>
      <c r="WWI2" s="107"/>
      <c r="WWJ2" s="107"/>
      <c r="WWK2" s="107"/>
      <c r="WWL2" s="107"/>
      <c r="WWM2" s="107"/>
      <c r="WWN2" s="107"/>
      <c r="WWO2" s="107"/>
      <c r="WWP2" s="107"/>
      <c r="WWQ2" s="107"/>
      <c r="WWR2" s="107"/>
      <c r="WWS2" s="107"/>
      <c r="WWT2" s="107"/>
      <c r="WWU2" s="107"/>
      <c r="WWV2" s="107"/>
      <c r="WWW2" s="107"/>
      <c r="WWX2" s="107"/>
      <c r="WWY2" s="107"/>
      <c r="WWZ2" s="107"/>
      <c r="WXA2" s="107"/>
      <c r="WXB2" s="107"/>
      <c r="WXC2" s="107"/>
      <c r="WXD2" s="107"/>
      <c r="WXE2" s="107"/>
      <c r="WXF2" s="107"/>
      <c r="WXG2" s="107"/>
      <c r="WXH2" s="107"/>
      <c r="WXI2" s="107"/>
      <c r="WXJ2" s="107"/>
      <c r="WXK2" s="107"/>
      <c r="WXL2" s="107"/>
      <c r="WXM2" s="107"/>
      <c r="WXN2" s="107"/>
      <c r="WXO2" s="107"/>
      <c r="WXP2" s="107"/>
      <c r="WXQ2" s="107"/>
      <c r="WXR2" s="107"/>
      <c r="WXS2" s="107"/>
      <c r="WXT2" s="107"/>
      <c r="WXU2" s="107"/>
      <c r="WXV2" s="107"/>
      <c r="WXW2" s="107"/>
      <c r="WXX2" s="107"/>
      <c r="WXY2" s="107"/>
      <c r="WXZ2" s="107"/>
      <c r="WYA2" s="107"/>
      <c r="WYB2" s="107"/>
      <c r="WYC2" s="107"/>
      <c r="WYD2" s="107"/>
      <c r="WYE2" s="107"/>
      <c r="WYF2" s="107"/>
      <c r="WYG2" s="107"/>
      <c r="WYH2" s="107"/>
      <c r="WYI2" s="107"/>
      <c r="WYJ2" s="107"/>
      <c r="WYK2" s="107"/>
      <c r="WYL2" s="107"/>
      <c r="WYM2" s="107"/>
      <c r="WYN2" s="107"/>
      <c r="WYO2" s="107"/>
      <c r="WYP2" s="107"/>
      <c r="WYQ2" s="107"/>
      <c r="WYR2" s="107"/>
      <c r="WYS2" s="107"/>
      <c r="WYT2" s="107"/>
      <c r="WYU2" s="107"/>
      <c r="WYV2" s="107"/>
      <c r="WYW2" s="107"/>
      <c r="WYX2" s="107"/>
      <c r="WYY2" s="107"/>
      <c r="WYZ2" s="107"/>
      <c r="WZA2" s="107"/>
      <c r="WZB2" s="107"/>
      <c r="WZC2" s="107"/>
      <c r="WZD2" s="107"/>
      <c r="WZE2" s="107"/>
      <c r="WZF2" s="107"/>
      <c r="WZG2" s="107"/>
      <c r="WZH2" s="107"/>
      <c r="WZI2" s="107"/>
      <c r="WZJ2" s="107"/>
      <c r="WZK2" s="107"/>
      <c r="WZL2" s="107"/>
      <c r="WZM2" s="107"/>
      <c r="WZN2" s="107"/>
      <c r="WZO2" s="107"/>
      <c r="WZP2" s="107"/>
      <c r="WZQ2" s="107"/>
      <c r="WZR2" s="107"/>
      <c r="WZS2" s="107"/>
      <c r="WZT2" s="107"/>
      <c r="WZU2" s="107"/>
      <c r="WZV2" s="107"/>
      <c r="WZW2" s="107"/>
      <c r="WZX2" s="107"/>
      <c r="WZY2" s="107"/>
      <c r="WZZ2" s="107"/>
      <c r="XAA2" s="107"/>
      <c r="XAB2" s="107"/>
      <c r="XAC2" s="107"/>
      <c r="XAD2" s="107"/>
      <c r="XAE2" s="107"/>
      <c r="XAF2" s="107"/>
      <c r="XAG2" s="107"/>
      <c r="XAH2" s="107"/>
      <c r="XAI2" s="107"/>
      <c r="XAJ2" s="107"/>
      <c r="XAK2" s="107"/>
      <c r="XAL2" s="107"/>
      <c r="XAM2" s="107"/>
      <c r="XAN2" s="107"/>
      <c r="XAO2" s="107"/>
      <c r="XAP2" s="107"/>
      <c r="XAQ2" s="107"/>
      <c r="XAR2" s="107"/>
      <c r="XAS2" s="107"/>
      <c r="XAT2" s="107"/>
      <c r="XAU2" s="107"/>
      <c r="XAV2" s="107"/>
      <c r="XAW2" s="107"/>
      <c r="XAX2" s="107"/>
      <c r="XAY2" s="107"/>
      <c r="XAZ2" s="107"/>
      <c r="XBA2" s="107"/>
      <c r="XBB2" s="107"/>
      <c r="XBC2" s="107"/>
      <c r="XBD2" s="107"/>
      <c r="XBE2" s="107"/>
      <c r="XBF2" s="107"/>
      <c r="XBG2" s="107"/>
      <c r="XBH2" s="107"/>
      <c r="XBI2" s="107"/>
      <c r="XBJ2" s="107"/>
      <c r="XBK2" s="107"/>
      <c r="XBL2" s="107"/>
      <c r="XBM2" s="107"/>
      <c r="XBN2" s="107"/>
      <c r="XBO2" s="107"/>
      <c r="XBP2" s="107"/>
      <c r="XBQ2" s="107"/>
      <c r="XBR2" s="107"/>
      <c r="XBS2" s="107"/>
      <c r="XBT2" s="107"/>
      <c r="XBU2" s="107"/>
      <c r="XBV2" s="107"/>
      <c r="XBW2" s="107"/>
      <c r="XBX2" s="107"/>
      <c r="XBY2" s="107"/>
      <c r="XBZ2" s="107"/>
      <c r="XCA2" s="107"/>
      <c r="XCB2" s="107"/>
      <c r="XCC2" s="107"/>
      <c r="XCD2" s="107"/>
      <c r="XCE2" s="107"/>
      <c r="XCF2" s="107"/>
      <c r="XCG2" s="107"/>
      <c r="XCH2" s="107"/>
      <c r="XCI2" s="107"/>
      <c r="XCJ2" s="107"/>
      <c r="XCK2" s="107"/>
      <c r="XCL2" s="107"/>
      <c r="XCM2" s="107"/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7"/>
      <c r="XDA2" s="107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7"/>
      <c r="XEA2" s="107"/>
      <c r="XEB2" s="107"/>
      <c r="XEC2" s="107"/>
      <c r="XED2" s="107"/>
      <c r="XEE2" s="107"/>
      <c r="XEF2" s="107"/>
      <c r="XEG2" s="107"/>
      <c r="XEH2" s="107"/>
      <c r="XEI2" s="107"/>
      <c r="XEJ2" s="107"/>
      <c r="XEK2" s="107"/>
      <c r="XEL2" s="107"/>
      <c r="XEM2" s="107"/>
      <c r="XEN2" s="107"/>
      <c r="XEO2" s="107"/>
      <c r="XEP2" s="107"/>
      <c r="XEQ2" s="107"/>
      <c r="XER2" s="107"/>
      <c r="XES2" s="107"/>
      <c r="XET2" s="107"/>
      <c r="XEU2" s="107"/>
      <c r="XEV2" s="107"/>
      <c r="XEW2" s="107"/>
      <c r="XEX2" s="107"/>
      <c r="XEY2" s="107"/>
      <c r="XEZ2" s="107"/>
      <c r="XFA2" s="107"/>
      <c r="XFB2" s="107"/>
      <c r="XFC2" s="107"/>
      <c r="XFD2" s="107"/>
    </row>
    <row r="3" spans="1:16384" s="111" customFormat="1" ht="7.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75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</row>
    <row r="4" spans="1:16384" ht="18.75" x14ac:dyDescent="0.25">
      <c r="A4" s="120"/>
      <c r="B4" s="326" t="s">
        <v>196</v>
      </c>
      <c r="C4" s="121"/>
      <c r="D4" s="121"/>
      <c r="E4" s="121"/>
      <c r="F4" s="121"/>
      <c r="G4" s="121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</row>
    <row r="5" spans="1:16384" outlineLevel="1" x14ac:dyDescent="0.25">
      <c r="A5" s="120"/>
      <c r="B5" s="581" t="str">
        <f>B21</f>
        <v>TIPO OPERAZIONE</v>
      </c>
      <c r="C5" s="581"/>
      <c r="D5" s="581"/>
      <c r="E5" s="581"/>
      <c r="F5" s="581"/>
      <c r="G5" s="581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</row>
    <row r="6" spans="1:16384" outlineLevel="1" x14ac:dyDescent="0.25">
      <c r="A6" s="120"/>
      <c r="B6" s="581" t="str">
        <f>F21</f>
        <v>ALLEGATO A: CATEGORIE MACCHINE AGRICOLE (OPERATRICI E RIMORCHI) e MACCHINE OPERATRICI</v>
      </c>
      <c r="C6" s="581"/>
      <c r="D6" s="581"/>
      <c r="E6" s="581"/>
      <c r="F6" s="581"/>
      <c r="G6" s="581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</row>
    <row r="7" spans="1:16384" outlineLevel="1" x14ac:dyDescent="0.25">
      <c r="A7" s="120"/>
      <c r="B7" s="581" t="str">
        <f>L21</f>
        <v>ALLEGATO B: PRESCRIZIONI TECNICHE DI CIRCOLAZIONE</v>
      </c>
      <c r="C7" s="581"/>
      <c r="D7" s="581"/>
      <c r="E7" s="581"/>
      <c r="F7" s="581"/>
      <c r="G7" s="581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</row>
    <row r="8" spans="1:16384" outlineLevel="1" x14ac:dyDescent="0.25">
      <c r="A8" s="120"/>
      <c r="B8" s="581" t="str">
        <f>Q21</f>
        <v>ALLEGATO C: COMBUSTIBILE</v>
      </c>
      <c r="C8" s="581"/>
      <c r="D8" s="581"/>
      <c r="E8" s="581"/>
      <c r="F8" s="581"/>
      <c r="G8" s="581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</row>
    <row r="9" spans="1:16384" outlineLevel="1" x14ac:dyDescent="0.25">
      <c r="A9" s="120"/>
      <c r="B9" s="581" t="str">
        <f>U21</f>
        <v>ALLEGATO D: FRENI</v>
      </c>
      <c r="C9" s="581"/>
      <c r="D9" s="581"/>
      <c r="E9" s="581"/>
      <c r="F9" s="581"/>
      <c r="G9" s="581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</row>
    <row r="10" spans="1:16384" outlineLevel="1" x14ac:dyDescent="0.25">
      <c r="A10" s="120"/>
      <c r="B10" s="581" t="str">
        <f>Y21</f>
        <v>ALLEGATO E: IMPIEGHI</v>
      </c>
      <c r="C10" s="581"/>
      <c r="D10" s="581"/>
      <c r="E10" s="581"/>
      <c r="F10" s="581"/>
      <c r="G10" s="581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</row>
    <row r="11" spans="1:16384" outlineLevel="1" x14ac:dyDescent="0.25">
      <c r="A11" s="120"/>
      <c r="B11" s="581" t="str">
        <f>AC21</f>
        <v>ALLEGATO F: ATTREZZATURE</v>
      </c>
      <c r="C11" s="581"/>
      <c r="D11" s="581"/>
      <c r="E11" s="581"/>
      <c r="F11" s="581"/>
      <c r="G11" s="581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</row>
    <row r="12" spans="1:16384" outlineLevel="1" x14ac:dyDescent="0.25">
      <c r="A12" s="120"/>
      <c r="B12" s="581" t="str">
        <f>AH21</f>
        <v>TIPOLOGIA VEICOLO TRAINANTE</v>
      </c>
      <c r="C12" s="581"/>
      <c r="D12" s="581"/>
      <c r="E12" s="581"/>
      <c r="F12" s="581"/>
      <c r="G12" s="581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</row>
    <row r="13" spans="1:16384" outlineLevel="1" x14ac:dyDescent="0.25">
      <c r="A13" s="120"/>
      <c r="B13" s="581" t="str">
        <f>AL21</f>
        <v>NAZIONALITA'</v>
      </c>
      <c r="C13" s="581"/>
      <c r="D13" s="581"/>
      <c r="E13" s="581"/>
      <c r="F13" s="581"/>
      <c r="G13" s="581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</row>
    <row r="14" spans="1:16384" outlineLevel="1" x14ac:dyDescent="0.25">
      <c r="A14" s="120"/>
      <c r="B14" s="581" t="str">
        <f>AP21</f>
        <v>TEMPI</v>
      </c>
      <c r="C14" s="581"/>
      <c r="D14" s="581"/>
      <c r="E14" s="581"/>
      <c r="F14" s="581"/>
      <c r="G14" s="581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</row>
    <row r="15" spans="1:16384" outlineLevel="1" x14ac:dyDescent="0.25">
      <c r="A15" s="120"/>
      <c r="B15" s="581" t="str">
        <f>AR21</f>
        <v>TIPI OMOLOGAZIONE</v>
      </c>
      <c r="C15" s="581"/>
      <c r="D15" s="581"/>
      <c r="E15" s="581"/>
      <c r="F15" s="581"/>
      <c r="G15" s="581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</row>
    <row r="16" spans="1:16384" outlineLevel="1" x14ac:dyDescent="0.25">
      <c r="A16" s="120"/>
      <c r="B16" s="581" t="str">
        <f>AU21</f>
        <v>SAGOMA FERROVIARA</v>
      </c>
      <c r="C16" s="581"/>
      <c r="D16" s="581"/>
      <c r="E16" s="581"/>
      <c r="F16" s="581"/>
      <c r="G16" s="581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</row>
    <row r="17" spans="1:85" outlineLevel="1" x14ac:dyDescent="0.25">
      <c r="A17" s="120"/>
      <c r="B17" s="581" t="str">
        <f>PNEU_1</f>
        <v>PNEU 1 (cingolati)</v>
      </c>
      <c r="C17" s="581"/>
      <c r="D17" s="581"/>
      <c r="E17" s="581"/>
      <c r="F17" s="581"/>
      <c r="G17" s="581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</row>
    <row r="18" spans="1:85" outlineLevel="1" x14ac:dyDescent="0.25">
      <c r="A18" s="120"/>
      <c r="B18" s="581" t="str">
        <f>DIRETTIVE_CEE</f>
        <v>DIRETTIVE CEE ANTINQUINAMENTO</v>
      </c>
      <c r="C18" s="581"/>
      <c r="D18" s="581"/>
      <c r="E18" s="581"/>
      <c r="F18" s="581"/>
      <c r="G18" s="581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</row>
    <row r="19" spans="1:85" outlineLevel="1" x14ac:dyDescent="0.25">
      <c r="A19" s="120"/>
      <c r="B19" s="581" t="str">
        <f>BG21</f>
        <v>ASTERISCATE</v>
      </c>
      <c r="C19" s="581"/>
      <c r="D19" s="581"/>
      <c r="E19" s="581"/>
      <c r="F19" s="581"/>
      <c r="G19" s="581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</row>
    <row r="20" spans="1:85" x14ac:dyDescent="0.25">
      <c r="A20" s="120"/>
      <c r="B20" s="120"/>
      <c r="C20" s="120"/>
      <c r="D20" s="120"/>
      <c r="E20" s="120"/>
      <c r="F20" s="125"/>
      <c r="G20" s="120"/>
      <c r="H20" s="120"/>
      <c r="I20" s="120"/>
      <c r="J20" s="406" t="s">
        <v>197</v>
      </c>
      <c r="K20" s="120"/>
      <c r="L20" s="120"/>
      <c r="M20" s="120"/>
      <c r="N20" s="120"/>
      <c r="O20" s="406" t="s">
        <v>197</v>
      </c>
      <c r="P20" s="120"/>
      <c r="Q20" s="120"/>
      <c r="R20" s="120"/>
      <c r="S20" s="406" t="s">
        <v>197</v>
      </c>
      <c r="T20" s="120"/>
      <c r="U20" s="120"/>
      <c r="V20" s="120"/>
      <c r="W20" s="406" t="s">
        <v>197</v>
      </c>
      <c r="X20" s="120"/>
      <c r="Y20" s="120"/>
      <c r="Z20" s="120"/>
      <c r="AA20" s="406" t="s">
        <v>197</v>
      </c>
      <c r="AB20" s="120"/>
      <c r="AC20" s="120"/>
      <c r="AD20" s="120"/>
      <c r="AE20" s="120"/>
      <c r="AF20" s="406" t="s">
        <v>197</v>
      </c>
      <c r="AG20" s="120"/>
      <c r="AH20" s="120"/>
      <c r="AI20" s="120"/>
      <c r="AJ20" s="406" t="s">
        <v>197</v>
      </c>
      <c r="AK20" s="120"/>
      <c r="AL20" s="120"/>
      <c r="AM20" s="120"/>
      <c r="AN20" s="406" t="s">
        <v>197</v>
      </c>
      <c r="AO20" s="120"/>
      <c r="AP20" s="120"/>
      <c r="AQ20" s="120"/>
      <c r="AR20" s="120"/>
      <c r="AS20" s="406" t="s">
        <v>197</v>
      </c>
      <c r="AU20" s="120"/>
      <c r="AV20" s="120"/>
      <c r="AW20" s="406" t="s">
        <v>197</v>
      </c>
      <c r="AX20" s="120"/>
      <c r="AY20" s="120"/>
      <c r="AZ20" s="120"/>
      <c r="BA20" s="406" t="s">
        <v>197</v>
      </c>
      <c r="BB20" s="120"/>
      <c r="BC20" s="120"/>
      <c r="BD20" s="120"/>
      <c r="BE20" s="406" t="s">
        <v>197</v>
      </c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406" t="s">
        <v>197</v>
      </c>
      <c r="CD20" s="120"/>
    </row>
    <row r="21" spans="1:85" s="55" customFormat="1" ht="58.5" customHeight="1" x14ac:dyDescent="0.25">
      <c r="A21" s="63"/>
      <c r="B21" s="583" t="s">
        <v>198</v>
      </c>
      <c r="C21" s="583"/>
      <c r="D21" s="583"/>
      <c r="E21" s="63"/>
      <c r="F21" s="582" t="s">
        <v>199</v>
      </c>
      <c r="G21" s="582"/>
      <c r="H21" s="582"/>
      <c r="I21" s="582"/>
      <c r="J21" s="582"/>
      <c r="K21" s="63"/>
      <c r="L21" s="591" t="s">
        <v>200</v>
      </c>
      <c r="M21" s="591"/>
      <c r="N21" s="591"/>
      <c r="O21" s="591"/>
      <c r="P21" s="63"/>
      <c r="Q21" s="586" t="s">
        <v>201</v>
      </c>
      <c r="R21" s="586"/>
      <c r="S21" s="586"/>
      <c r="T21" s="63"/>
      <c r="U21" s="587" t="s">
        <v>202</v>
      </c>
      <c r="V21" s="587"/>
      <c r="W21" s="587"/>
      <c r="X21" s="63"/>
      <c r="Y21" s="585" t="s">
        <v>203</v>
      </c>
      <c r="Z21" s="585"/>
      <c r="AA21" s="585"/>
      <c r="AB21" s="177"/>
      <c r="AC21" s="589" t="s">
        <v>204</v>
      </c>
      <c r="AD21" s="589"/>
      <c r="AE21" s="589"/>
      <c r="AF21" s="589"/>
      <c r="AG21" s="63"/>
      <c r="AH21" s="590" t="s">
        <v>205</v>
      </c>
      <c r="AI21" s="590"/>
      <c r="AJ21" s="590"/>
      <c r="AK21" s="63"/>
      <c r="AL21" s="588" t="s">
        <v>206</v>
      </c>
      <c r="AM21" s="588"/>
      <c r="AN21" s="588"/>
      <c r="AO21" s="63"/>
      <c r="AP21" s="56" t="s">
        <v>207</v>
      </c>
      <c r="AQ21" s="63"/>
      <c r="AR21" s="584" t="s">
        <v>208</v>
      </c>
      <c r="AS21" s="584"/>
      <c r="AT21" s="177"/>
      <c r="AU21" s="593" t="s">
        <v>209</v>
      </c>
      <c r="AV21" s="593"/>
      <c r="AW21" s="593"/>
      <c r="AX21" s="63"/>
      <c r="AY21" s="589" t="s">
        <v>210</v>
      </c>
      <c r="AZ21" s="589"/>
      <c r="BA21" s="589"/>
      <c r="BB21" s="63"/>
      <c r="BC21" s="592" t="s">
        <v>211</v>
      </c>
      <c r="BD21" s="592"/>
      <c r="BE21" s="592"/>
      <c r="BF21" s="63"/>
      <c r="BG21" s="583" t="s">
        <v>212</v>
      </c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137"/>
    </row>
    <row r="22" spans="1:85" ht="69.75" customHeight="1" x14ac:dyDescent="0.25">
      <c r="A22" s="120"/>
      <c r="B22" s="58" t="s">
        <v>213</v>
      </c>
      <c r="C22" s="59" t="s">
        <v>214</v>
      </c>
      <c r="D22" s="59" t="s">
        <v>215</v>
      </c>
      <c r="E22" s="120"/>
      <c r="F22" s="179" t="s">
        <v>216</v>
      </c>
      <c r="G22" s="179" t="s">
        <v>217</v>
      </c>
      <c r="H22" s="60" t="s">
        <v>218</v>
      </c>
      <c r="I22" s="60" t="s">
        <v>219</v>
      </c>
      <c r="J22" s="60" t="s">
        <v>215</v>
      </c>
      <c r="K22" s="120"/>
      <c r="L22" s="60" t="s">
        <v>216</v>
      </c>
      <c r="M22" s="60" t="s">
        <v>214</v>
      </c>
      <c r="N22" s="60" t="s">
        <v>220</v>
      </c>
      <c r="O22" s="59" t="s">
        <v>215</v>
      </c>
      <c r="P22" s="120"/>
      <c r="Q22" s="58" t="s">
        <v>221</v>
      </c>
      <c r="R22" s="58" t="s">
        <v>222</v>
      </c>
      <c r="S22" s="59" t="s">
        <v>215</v>
      </c>
      <c r="T22" s="126"/>
      <c r="U22" s="58" t="s">
        <v>223</v>
      </c>
      <c r="V22" s="58" t="s">
        <v>224</v>
      </c>
      <c r="W22" s="59" t="s">
        <v>215</v>
      </c>
      <c r="X22" s="124"/>
      <c r="Y22" s="58" t="s">
        <v>225</v>
      </c>
      <c r="Z22" s="58" t="s">
        <v>226</v>
      </c>
      <c r="AA22" s="59" t="s">
        <v>215</v>
      </c>
      <c r="AB22" s="177"/>
      <c r="AC22" s="179" t="s">
        <v>227</v>
      </c>
      <c r="AD22" s="179" t="s">
        <v>228</v>
      </c>
      <c r="AE22" s="60" t="s">
        <v>229</v>
      </c>
      <c r="AF22" s="60" t="s">
        <v>215</v>
      </c>
      <c r="AG22" s="124"/>
      <c r="AH22" s="60" t="s">
        <v>230</v>
      </c>
      <c r="AI22" s="60" t="s">
        <v>214</v>
      </c>
      <c r="AJ22" s="59" t="s">
        <v>215</v>
      </c>
      <c r="AK22" s="124"/>
      <c r="AL22" s="60" t="s">
        <v>230</v>
      </c>
      <c r="AM22" s="60" t="s">
        <v>214</v>
      </c>
      <c r="AN22" s="59" t="s">
        <v>215</v>
      </c>
      <c r="AO22" s="120"/>
      <c r="AP22" s="58" t="s">
        <v>231</v>
      </c>
      <c r="AQ22" s="120"/>
      <c r="AR22" s="58" t="s">
        <v>216</v>
      </c>
      <c r="AS22" s="58" t="s">
        <v>232</v>
      </c>
      <c r="AT22" s="185"/>
      <c r="AU22" s="60" t="s">
        <v>216</v>
      </c>
      <c r="AV22" s="60" t="s">
        <v>214</v>
      </c>
      <c r="AW22" s="60" t="s">
        <v>215</v>
      </c>
      <c r="AX22" s="120"/>
      <c r="AY22" s="60" t="s">
        <v>216</v>
      </c>
      <c r="AZ22" s="60" t="s">
        <v>214</v>
      </c>
      <c r="BA22" s="60" t="s">
        <v>215</v>
      </c>
      <c r="BB22" s="120"/>
      <c r="BC22" s="60" t="s">
        <v>216</v>
      </c>
      <c r="BD22" s="60" t="s">
        <v>214</v>
      </c>
      <c r="BE22" s="60" t="s">
        <v>215</v>
      </c>
      <c r="BF22" s="120"/>
      <c r="BG22" s="128" t="s">
        <v>233</v>
      </c>
      <c r="BH22" s="128" t="s">
        <v>234</v>
      </c>
      <c r="BI22" s="128" t="s">
        <v>235</v>
      </c>
      <c r="BJ22" s="128"/>
      <c r="BK22" s="128" t="s">
        <v>236</v>
      </c>
      <c r="BL22" s="128" t="s">
        <v>237</v>
      </c>
      <c r="BM22" s="128" t="s">
        <v>238</v>
      </c>
      <c r="BN22" s="128" t="s">
        <v>239</v>
      </c>
      <c r="BO22" s="128" t="s">
        <v>240</v>
      </c>
      <c r="BP22" s="129" t="s">
        <v>241</v>
      </c>
      <c r="BQ22" s="129" t="s">
        <v>242</v>
      </c>
      <c r="BR22" s="129" t="s">
        <v>243</v>
      </c>
      <c r="BS22" s="129" t="s">
        <v>244</v>
      </c>
      <c r="BT22" s="129" t="s">
        <v>245</v>
      </c>
      <c r="BU22" s="128"/>
      <c r="BV22" s="128" t="s">
        <v>246</v>
      </c>
      <c r="BW22" s="128" t="s">
        <v>247</v>
      </c>
      <c r="BX22" s="128" t="s">
        <v>248</v>
      </c>
      <c r="BY22" s="128" t="s">
        <v>249</v>
      </c>
      <c r="BZ22" s="128" t="s">
        <v>250</v>
      </c>
      <c r="CA22" s="128" t="s">
        <v>251</v>
      </c>
      <c r="CB22" s="128" t="s">
        <v>252</v>
      </c>
      <c r="CC22" s="128" t="s">
        <v>214</v>
      </c>
      <c r="CD22" s="64"/>
      <c r="CE22" s="174"/>
      <c r="CF22" s="174"/>
      <c r="CG22" s="176"/>
    </row>
    <row r="23" spans="1:85" ht="23.25" customHeight="1" x14ac:dyDescent="0.25">
      <c r="A23" s="120"/>
      <c r="B23" s="57"/>
      <c r="C23" s="73"/>
      <c r="D23" s="73"/>
      <c r="E23" s="120"/>
      <c r="F23" s="506"/>
      <c r="G23" s="506"/>
      <c r="H23" s="506"/>
      <c r="I23" s="506"/>
      <c r="J23" s="505"/>
      <c r="K23" s="120"/>
      <c r="L23" s="169" t="s">
        <v>255</v>
      </c>
      <c r="M23" s="169"/>
      <c r="N23" s="169"/>
      <c r="O23" s="169"/>
      <c r="P23" s="120"/>
      <c r="Q23" s="61" t="s">
        <v>255</v>
      </c>
      <c r="R23" s="62"/>
      <c r="S23" s="73"/>
      <c r="T23" s="127"/>
      <c r="U23" s="61"/>
      <c r="V23" s="62"/>
      <c r="W23" s="73"/>
      <c r="X23" s="124"/>
      <c r="Y23" s="170" t="s">
        <v>255</v>
      </c>
      <c r="Z23" s="178"/>
      <c r="AA23" s="180"/>
      <c r="AB23" s="124"/>
      <c r="AC23" s="172" t="s">
        <v>258</v>
      </c>
      <c r="AD23" s="169"/>
      <c r="AE23" s="180"/>
      <c r="AF23" s="180"/>
      <c r="AG23" s="124"/>
      <c r="AH23" s="170" t="s">
        <v>258</v>
      </c>
      <c r="AI23" s="167"/>
      <c r="AJ23" s="180"/>
      <c r="AK23" s="124"/>
      <c r="AL23" s="57"/>
      <c r="AM23" s="73"/>
      <c r="AN23" s="73"/>
      <c r="AO23" s="120"/>
      <c r="AP23" s="57"/>
      <c r="AQ23" s="120"/>
      <c r="AR23" s="61"/>
      <c r="AS23" s="62"/>
      <c r="AT23" s="186"/>
      <c r="AU23" s="167" t="s">
        <v>255</v>
      </c>
      <c r="AV23" s="167"/>
      <c r="AW23" s="169"/>
      <c r="AX23" s="120"/>
      <c r="AY23" s="409" t="s">
        <v>255</v>
      </c>
      <c r="AZ23" s="409"/>
      <c r="BA23" s="410"/>
      <c r="BB23" s="120"/>
      <c r="BC23" s="178"/>
      <c r="BD23" s="178"/>
      <c r="BE23" s="169"/>
      <c r="BF23" s="120"/>
      <c r="BG23" s="73"/>
      <c r="BH23" s="413"/>
      <c r="BJ23" s="130"/>
      <c r="BK23" s="130">
        <v>0</v>
      </c>
      <c r="BL23" s="130">
        <v>1</v>
      </c>
      <c r="BM23" s="130">
        <v>2</v>
      </c>
      <c r="BN23" s="130">
        <v>3</v>
      </c>
      <c r="BO23" s="130">
        <v>4</v>
      </c>
      <c r="BP23" s="130"/>
      <c r="BQ23" s="130"/>
      <c r="BR23" s="130"/>
      <c r="BS23" s="130"/>
      <c r="BT23" s="130"/>
      <c r="BU23" s="130"/>
      <c r="CC23" s="181"/>
      <c r="CD23" s="131"/>
      <c r="CF23" s="174"/>
    </row>
    <row r="24" spans="1:85" ht="61.5" customHeight="1" x14ac:dyDescent="0.25">
      <c r="A24" s="120"/>
      <c r="B24" s="57" t="s">
        <v>253</v>
      </c>
      <c r="C24" s="73" t="s">
        <v>3</v>
      </c>
      <c r="D24" s="73" t="str">
        <f>B24&amp;" - "&amp;C24</f>
        <v>II - INSERIMENTO</v>
      </c>
      <c r="E24" s="120"/>
      <c r="F24" s="578" t="s">
        <v>254</v>
      </c>
      <c r="G24" s="579"/>
      <c r="H24" s="579"/>
      <c r="I24" s="579"/>
      <c r="J24" s="504" t="str">
        <f>F24</f>
        <v xml:space="preserve">   MACCHINE AGRICOLE (OPERATRICI E RIMORCHI):</v>
      </c>
      <c r="K24" s="120"/>
      <c r="L24" s="169" t="s">
        <v>267</v>
      </c>
      <c r="M24" s="169" t="s">
        <v>268</v>
      </c>
      <c r="N24" s="169">
        <f t="shared" ref="N24:N47" si="0">ROUNDUP(LEN(M24)/LUNGH,0)</f>
        <v>1</v>
      </c>
      <c r="O24" s="169" t="str">
        <f>L24&amp;" - "&amp;M24</f>
        <v xml:space="preserve">A - PUO' CIRCOLARE SOLO A VUOTO. </v>
      </c>
      <c r="P24" s="120"/>
      <c r="Q24" s="61" t="s">
        <v>269</v>
      </c>
      <c r="R24" s="62" t="s">
        <v>270</v>
      </c>
      <c r="S24" s="73" t="str">
        <f t="shared" ref="S24:S29" si="1">Q24&amp;" - "&amp;R24</f>
        <v>G   -  Gasolio</v>
      </c>
      <c r="T24" s="127"/>
      <c r="U24" s="61" t="s">
        <v>256</v>
      </c>
      <c r="V24" s="62" t="s">
        <v>257</v>
      </c>
      <c r="W24" s="73" t="str">
        <f t="shared" ref="W24" si="2">U24&amp;" - "&amp;V24</f>
        <v>I - IDRAULICO</v>
      </c>
      <c r="X24" s="124"/>
      <c r="Y24" s="170" t="s">
        <v>273</v>
      </c>
      <c r="Z24" s="178" t="s">
        <v>274</v>
      </c>
      <c r="AA24" s="180" t="str">
        <f t="shared" ref="AA24:AA36" si="3">Y24&amp;" - "&amp;Z24</f>
        <v xml:space="preserve">C - COMPATTAMENTO </v>
      </c>
      <c r="AB24" s="124"/>
      <c r="AC24" s="172" t="s">
        <v>275</v>
      </c>
      <c r="AD24" s="169" t="s">
        <v>276</v>
      </c>
      <c r="AE24" s="180"/>
      <c r="AF24" s="180" t="str">
        <f t="shared" ref="AF24:AF55" si="4">AC24&amp;" - "&amp;AD24</f>
        <v>CB - RULLO COMPRESSORE</v>
      </c>
      <c r="AG24" s="124"/>
      <c r="AH24" s="170" t="s">
        <v>277</v>
      </c>
      <c r="AI24" s="167" t="s">
        <v>278</v>
      </c>
      <c r="AJ24" s="180" t="str">
        <f>CONCATENATE(AH24," - ",AI24)</f>
        <v>MO - Macchina Operatrice</v>
      </c>
      <c r="AK24" s="124"/>
      <c r="AL24" s="57" t="s">
        <v>256</v>
      </c>
      <c r="AM24" s="73" t="s">
        <v>279</v>
      </c>
      <c r="AN24" s="73" t="str">
        <f>CONCATENATE(AL24," - ",AM24)</f>
        <v>I - Italia</v>
      </c>
      <c r="AO24" s="120"/>
      <c r="AP24" s="57">
        <v>0</v>
      </c>
      <c r="AQ24" s="120"/>
      <c r="AR24" s="61" t="s">
        <v>259</v>
      </c>
      <c r="AS24" s="62" t="s">
        <v>260</v>
      </c>
      <c r="AT24" s="186"/>
      <c r="AU24" s="164">
        <v>1</v>
      </c>
      <c r="AV24" s="164" t="s">
        <v>282</v>
      </c>
      <c r="AW24" s="169" t="str">
        <f>CONCATENATE(AU24," - ",AV24)</f>
        <v>1 - Sagoma 1</v>
      </c>
      <c r="AX24" s="120"/>
      <c r="AY24" s="164" t="s">
        <v>283</v>
      </c>
      <c r="AZ24" s="412" t="s">
        <v>284</v>
      </c>
      <c r="BA24" s="169" t="str">
        <f>CONCATENATE(AY24," - ",AZ24)</f>
        <v>S - Semplici</v>
      </c>
      <c r="BB24" s="120"/>
      <c r="BC24" s="169" t="s">
        <v>285</v>
      </c>
      <c r="BD24" s="169" t="s">
        <v>286</v>
      </c>
      <c r="BE24" s="169" t="str">
        <f>CONCATENATE(BC24," - ",BD24)</f>
        <v>WL  - CONFORME ALLA DIRETTIVA 96/68/CE-FASE I</v>
      </c>
      <c r="BF24" s="120"/>
      <c r="BG24" s="414" t="s">
        <v>287</v>
      </c>
      <c r="BH24" s="132" t="s">
        <v>288</v>
      </c>
      <c r="BI24" s="132" t="str">
        <f t="shared" ref="BI24:BI44" si="5">SUBSTITUTE(BH24,"*","=")</f>
        <v>=ART10=$$$=</v>
      </c>
      <c r="BJ24" s="133"/>
      <c r="BK24" s="134">
        <f>IFERROR(FIND("=",$BI24,FIND("=",$BI24,LEN($BG24))+SUM($BJ24:BJ24)+1+BK$23)-(FIND("=",$BI24,2)+SUM($BJ24:BJ24)+BK$23)-1,0)</f>
        <v>3</v>
      </c>
      <c r="BL24" s="134">
        <f>IFERROR(FIND("=",$BI24,FIND("=",$BI24,LEN($BG24))+SUM($BJ24:BK24)+1+BL$23)-(FIND("=",$BI24,2)+SUM($BJ24:BK24)+BL$23)-1,0)</f>
        <v>0</v>
      </c>
      <c r="BM24" s="134">
        <f>IFERROR(FIND("=",$BI24,FIND("=",$BI24,LEN($BG24))+SUM($BJ24:BL24)+1+BM$23)-(FIND("=",$BI24,2)+SUM($BJ24:BL24)+BM$23)-1,0)</f>
        <v>0</v>
      </c>
      <c r="BN24" s="134">
        <f>IFERROR(FIND("=",$BI24,FIND("=",$BI24,LEN($BG24))+SUM($BJ24:BM24)+1+BN$23)-(FIND("=",$BI24,2)+SUM($BJ24:BM24)+BN$23)-1,0)</f>
        <v>0</v>
      </c>
      <c r="BO24" s="134">
        <f>IFERROR(FIND("=",$BI24,FIND("=",$BI24,LEN($BG24))+SUM($BJ24:BN24)+1+BO$23)-(FIND("=",$BI24,2)+SUM($BJ24:BN24)+BO$23)-1,0)</f>
        <v>0</v>
      </c>
      <c r="BP24" s="135"/>
      <c r="BQ24" s="135"/>
      <c r="BR24" s="135"/>
      <c r="BS24" s="135"/>
      <c r="BT24" s="135"/>
      <c r="BU24" s="133"/>
      <c r="BV24" s="108" t="str">
        <f>MID($CB24,SUMPRODUCT(LEN($BU24:BU24))+SUM($BJ24:BJ24)+1,IFERROR(FIND("#",$CB24,SUMPRODUCT(LEN($BU24:BU24))+SUM($BJ24:BJ24)+1),1000)-(SUMPRODUCT(LEN($BU24:BU24))+SUM($BJ24:BJ24)+1))</f>
        <v>VEICOLO E C C E Z I O N A L E PUO` CIRCOLARE SOLO CON L`AUTORIZZAZIONE DI CUI ALL`ART. 10 DEL T. U.</v>
      </c>
      <c r="BW24" s="108" t="str">
        <f>MID($CB24,SUMPRODUCT(LEN($BU24:BV24))+SUM($BJ24:BK24)+1,IFERROR(FIND("#",$CB24,SUMPRODUCT(LEN($BU24:BV24))+SUM($BJ24:BK24)+1),1000)-(SUMPRODUCT(LEN($BU24:BV24))+SUM($BJ24:BK24)+1))</f>
        <v/>
      </c>
      <c r="BX24" s="108" t="str">
        <f>MID($CB24,SUMPRODUCT(LEN($BV24:BW24))+SUM($BK24:BL24)+1,IFERROR(FIND("#",$CB24,SUMPRODUCT(LEN($BV24:BW24))+SUM($BK24:BL24)+1),1000)-(SUMPRODUCT(LEN($BV24:BW24))+SUM($BK24:BL24)+1))</f>
        <v/>
      </c>
      <c r="BY24" s="108" t="str">
        <f>MID($CB24,SUMPRODUCT(LEN($BV24:BX24))+SUM($BK24:BM24)+1,IFERROR(FIND("#",$CB24,SUMPRODUCT(LEN($BV24:BX24))+SUM($BK24:BM24)+1),1000)-(SUMPRODUCT(LEN($BV24:BX24))+SUM($BK24:BM24)+1))</f>
        <v/>
      </c>
      <c r="BZ24" s="108" t="str">
        <f>MID($CB24,SUMPRODUCT(LEN($BV24:BY24))+SUM($BK24:BN24)+1,IFERROR(FIND("#",$CB24,SUMPRODUCT(LEN($BV24:BY24))+SUM($BK24:BN24)+1),1000)-(SUMPRODUCT(LEN($BV24:BY24))+SUM($BK24:BN24)+1))</f>
        <v/>
      </c>
      <c r="CA24" s="108" t="str">
        <f>MID($CB24,SUMPRODUCT(LEN($BV24:BZ24))+SUM($BK24:BO24)+1,IFERROR(FIND("#",$CB24,SUMPRODUCT(LEN($BV24:BZ24))+SUM($BK24:BO24)+1),1000)-(SUMPRODUCT(LEN($BV24:BZ24))+SUM($BK24:BO24)+1))</f>
        <v/>
      </c>
      <c r="CB24" s="118" t="s">
        <v>289</v>
      </c>
      <c r="CC24" s="118" t="s">
        <v>289</v>
      </c>
      <c r="CD24" s="124"/>
      <c r="CF24" s="174"/>
    </row>
    <row r="25" spans="1:85" ht="61.5" customHeight="1" x14ac:dyDescent="0.25">
      <c r="A25" s="120"/>
      <c r="B25" s="57" t="s">
        <v>261</v>
      </c>
      <c r="C25" s="73" t="s">
        <v>262</v>
      </c>
      <c r="D25" s="73" t="str">
        <f>B25&amp;" - "&amp;C25</f>
        <v>VR - VARIAZIONE</v>
      </c>
      <c r="E25" s="120"/>
      <c r="F25" s="165" t="s">
        <v>263</v>
      </c>
      <c r="G25" s="166" t="s">
        <v>264</v>
      </c>
      <c r="H25" s="164" t="s">
        <v>265</v>
      </c>
      <c r="I25" s="167" t="s">
        <v>266</v>
      </c>
      <c r="J25" s="169" t="str">
        <f t="shared" ref="J25:J53" si="6">F25&amp;" - "&amp;I25</f>
        <v xml:space="preserve">EA - Macchina agricola operatrice trainata  eccezionale atomizzatore </v>
      </c>
      <c r="K25" s="120"/>
      <c r="L25" s="169" t="s">
        <v>294</v>
      </c>
      <c r="M25" s="169" t="s">
        <v>295</v>
      </c>
      <c r="N25" s="169">
        <f t="shared" si="0"/>
        <v>1</v>
      </c>
      <c r="O25" s="169" t="str">
        <f t="shared" ref="O25:O47" si="7">L25&amp;" - "&amp;M25</f>
        <v xml:space="preserve">B - PUO' CIRCOLARE SENZA ATTREZZI DA LAVORO. </v>
      </c>
      <c r="P25" s="120"/>
      <c r="Q25" s="61" t="s">
        <v>296</v>
      </c>
      <c r="R25" s="62" t="s">
        <v>297</v>
      </c>
      <c r="S25" s="73" t="str">
        <f t="shared" si="1"/>
        <v>M   -  Metano</v>
      </c>
      <c r="T25" s="127"/>
      <c r="U25" s="61" t="s">
        <v>271</v>
      </c>
      <c r="V25" s="62" t="s">
        <v>272</v>
      </c>
      <c r="W25" s="73" t="str">
        <f t="shared" ref="W25:W34" si="8">U25&amp;" - "&amp;V25</f>
        <v>P - PNEUMATICO</v>
      </c>
      <c r="X25" s="124"/>
      <c r="Y25" s="170" t="s">
        <v>300</v>
      </c>
      <c r="Z25" s="178" t="s">
        <v>301</v>
      </c>
      <c r="AA25" s="180" t="str">
        <f t="shared" si="3"/>
        <v xml:space="preserve">F - FINITURA MANTI STRADALI </v>
      </c>
      <c r="AB25" s="124"/>
      <c r="AC25" s="172" t="s">
        <v>302</v>
      </c>
      <c r="AD25" s="169" t="s">
        <v>303</v>
      </c>
      <c r="AE25" s="169"/>
      <c r="AF25" s="180" t="str">
        <f t="shared" si="4"/>
        <v>CC - RULLO COMPRESSORE A RUOTE METALLICHE (CHOPPER)</v>
      </c>
      <c r="AG25" s="124"/>
      <c r="AH25" s="170" t="s">
        <v>304</v>
      </c>
      <c r="AI25" s="167" t="s">
        <v>305</v>
      </c>
      <c r="AJ25" s="180" t="str">
        <f>CONCATENATE(AH25," - ",AI25)</f>
        <v>VI - Veicolo Industriale</v>
      </c>
      <c r="AK25" s="124"/>
      <c r="AL25" s="57" t="s">
        <v>265</v>
      </c>
      <c r="AM25" s="73" t="s">
        <v>306</v>
      </c>
      <c r="AN25" s="73" t="str">
        <f>CONCATENATE(AL25," - ",AM25)</f>
        <v>E - Estero</v>
      </c>
      <c r="AO25" s="120"/>
      <c r="AP25" s="57">
        <v>2</v>
      </c>
      <c r="AQ25" s="120"/>
      <c r="AR25" s="61" t="s">
        <v>280</v>
      </c>
      <c r="AS25" s="62" t="s">
        <v>281</v>
      </c>
      <c r="AT25" s="186"/>
      <c r="AU25" s="164">
        <v>2</v>
      </c>
      <c r="AV25" s="164" t="s">
        <v>309</v>
      </c>
      <c r="AW25" s="169" t="str">
        <f>CONCATENATE(AU25," - ",AV25)</f>
        <v>2 - Sagoma 2</v>
      </c>
      <c r="AX25" s="120"/>
      <c r="AY25" s="164" t="s">
        <v>310</v>
      </c>
      <c r="AZ25" s="164" t="s">
        <v>311</v>
      </c>
      <c r="BA25" s="411" t="str">
        <f>CONCATENATE(AY25," - ",AZ25)</f>
        <v>D - Doppi</v>
      </c>
      <c r="BB25" s="120"/>
      <c r="BC25" s="169" t="s">
        <v>312</v>
      </c>
      <c r="BD25" s="169" t="s">
        <v>313</v>
      </c>
      <c r="BE25" s="169" t="str">
        <f>CONCATENATE(BC25," - ",BD25)</f>
        <v>WM  - CONFORME ALLA DIRETTIVA 96/68/CE-FASE II</v>
      </c>
      <c r="BF25" s="120"/>
      <c r="BG25" s="414" t="s">
        <v>314</v>
      </c>
      <c r="BH25" s="132" t="s">
        <v>315</v>
      </c>
      <c r="BI25" s="132" t="str">
        <f t="shared" si="5"/>
        <v>=CONSM=####=####=####=</v>
      </c>
      <c r="BJ25" s="133"/>
      <c r="BK25" s="134">
        <f>IFERROR(FIND("=",$BI25,FIND("=",$BI25,LEN($BG25))+SUM($BJ25:BJ25)+1+BK$23)-(FIND("=",$BI25,2)+SUM($BJ25:BJ25)+BK$23)-1,0)</f>
        <v>4</v>
      </c>
      <c r="BL25" s="134">
        <f>IFERROR(FIND("=",$BI25,FIND("=",$BI25,LEN($BG25))+SUM($BJ25:BK25)+1+BL$23)-(FIND("=",$BI25,2)+SUM($BJ25:BK25)+BL$23)-1,0)</f>
        <v>4</v>
      </c>
      <c r="BM25" s="134">
        <f>IFERROR(FIND("=",$BI25,FIND("=",$BI25,LEN($BG25))+SUM($BJ25:BL25)+1+BM$23)-(FIND("=",$BI25,2)+SUM($BJ25:BL25)+BM$23)-1,0)</f>
        <v>4</v>
      </c>
      <c r="BN25" s="134">
        <f>IFERROR(FIND("=",$BI25,FIND("=",$BI25,LEN($BG25))+SUM($BJ25:BM25)+1+BN$23)-(FIND("=",$BI25,2)+SUM($BJ25:BM25)+BN$23)-1,0)</f>
        <v>0</v>
      </c>
      <c r="BO25" s="134">
        <f>IFERROR(FIND("=",$BI25,FIND("=",$BI25,LEN($BG25))+SUM($BJ25:BN25)+1+BO$23)-(FIND("=",$BI25,2)+SUM($BJ25:BN25)+BO$23)-1,0)</f>
        <v>0</v>
      </c>
      <c r="BP25" s="135">
        <v>2</v>
      </c>
      <c r="BQ25" s="135">
        <v>2</v>
      </c>
      <c r="BR25" s="135">
        <v>2</v>
      </c>
      <c r="BS25" s="135"/>
      <c r="BT25" s="135"/>
      <c r="BU25" s="133"/>
      <c r="BV25" s="108" t="str">
        <f>MID($CB25,SUMPRODUCT(LEN($BU25:BU25))+SUM($BJ25:BJ25)+1,IFERROR(FIND("#",$CB25,SUMPRODUCT(LEN($BU25:BU25))+SUM($BJ25:BJ25)+1),1000)-(SUMPRODUCT(LEN($BU25:BU25))+SUM($BJ25:BJ25)+1))</f>
        <v xml:space="preserve">CONSUMO IN LITRI/100 KM PERCORSO URBANO </v>
      </c>
      <c r="BW25" s="108" t="str">
        <f>MID($CB25,SUMPRODUCT(LEN($BU25:BV25))+SUM($BJ25:BK25)+1,IFERROR(FIND("#",$CB25,SUMPRODUCT(LEN($BU25:BV25))+SUM($BJ25:BK25)+1),1000)-(SUMPRODUCT(LEN($BU25:BV25))+SUM($BJ25:BK25)+1))</f>
        <v xml:space="preserve">; EXTRAURBANO </v>
      </c>
      <c r="BX25" s="108" t="str">
        <f>MID($CB25,SUMPRODUCT(LEN($BV25:BW25))+SUM($BK25:BL25)+1,IFERROR(FIND("#",$CB25,SUMPRODUCT(LEN($BV25:BW25))+SUM($BK25:BL25)+1),1000)-(SUMPRODUCT(LEN($BV25:BW25))+SUM($BK25:BL25)+1))</f>
        <v xml:space="preserve">; COMBINATO </v>
      </c>
      <c r="BY25" s="108" t="str">
        <f>MID($CB25,SUMPRODUCT(LEN($BV25:BX25))+SUM($BK25:BM25)+1,IFERROR(FIND("#",$CB25,SUMPRODUCT(LEN($BV25:BX25))+SUM($BK25:BM25)+1),1000)-(SUMPRODUCT(LEN($BV25:BX25))+SUM($BK25:BM25)+1))</f>
        <v>.</v>
      </c>
      <c r="BZ25" s="108" t="str">
        <f>MID($CB25,SUMPRODUCT(LEN($BV25:BY25))+SUM($BK25:BN25)+1,IFERROR(FIND("#",$CB25,SUMPRODUCT(LEN($BV25:BY25))+SUM($BK25:BN25)+1),1000)-(SUMPRODUCT(LEN($BV25:BY25))+SUM($BK25:BN25)+1))</f>
        <v/>
      </c>
      <c r="CA25" s="108" t="str">
        <f>MID($CB25,SUMPRODUCT(LEN($BV25:BZ25))+SUM($BK25:BO25)+1,IFERROR(FIND("#",$CB25,SUMPRODUCT(LEN($BV25:BZ25))+SUM($BK25:BO25)+1),1000)-(SUMPRODUCT(LEN($BV25:BZ25))+SUM($BK25:BO25)+1))</f>
        <v/>
      </c>
      <c r="CB25" s="118" t="s">
        <v>316</v>
      </c>
      <c r="CC25" s="118" t="s">
        <v>317</v>
      </c>
      <c r="CD25" s="124"/>
      <c r="CF25" s="174"/>
    </row>
    <row r="26" spans="1:85" ht="61.5" customHeight="1" x14ac:dyDescent="0.25">
      <c r="A26" s="120"/>
      <c r="B26" s="57" t="s">
        <v>290</v>
      </c>
      <c r="C26" s="73" t="s">
        <v>291</v>
      </c>
      <c r="D26" s="73" t="str">
        <f>B26&amp;" - "&amp;C26</f>
        <v>VV - VISUALIZZAZIONE</v>
      </c>
      <c r="E26" s="120"/>
      <c r="F26" s="165" t="s">
        <v>292</v>
      </c>
      <c r="G26" s="166" t="s">
        <v>264</v>
      </c>
      <c r="H26" s="164" t="s">
        <v>265</v>
      </c>
      <c r="I26" s="167" t="s">
        <v>293</v>
      </c>
      <c r="J26" s="169" t="str">
        <f t="shared" si="6"/>
        <v xml:space="preserve">EB - Macchina agricola operatrice trainata  eccezionale raccoglibietole </v>
      </c>
      <c r="K26" s="120"/>
      <c r="L26" s="169" t="s">
        <v>273</v>
      </c>
      <c r="M26" s="169" t="s">
        <v>322</v>
      </c>
      <c r="N26" s="169">
        <f t="shared" si="0"/>
        <v>1</v>
      </c>
      <c r="O26" s="169" t="str">
        <f t="shared" si="7"/>
        <v xml:space="preserve">C - DEVE CIRCOLARE SENZA ATTREZZI DA LAVORO. </v>
      </c>
      <c r="P26" s="120"/>
      <c r="Q26" s="61" t="s">
        <v>323</v>
      </c>
      <c r="R26" s="62" t="s">
        <v>324</v>
      </c>
      <c r="S26" s="73" t="str">
        <f t="shared" si="1"/>
        <v>B   -  Benzina</v>
      </c>
      <c r="T26" s="127"/>
      <c r="U26" s="61" t="s">
        <v>298</v>
      </c>
      <c r="V26" s="62" t="s">
        <v>299</v>
      </c>
      <c r="W26" s="73" t="str">
        <f t="shared" si="8"/>
        <v>M - MECCANICO</v>
      </c>
      <c r="X26" s="124"/>
      <c r="Y26" s="170" t="s">
        <v>326</v>
      </c>
      <c r="Z26" s="178" t="s">
        <v>327</v>
      </c>
      <c r="AA26" s="180" t="str">
        <f t="shared" si="3"/>
        <v xml:space="preserve">G - SOLLEVAMENTO </v>
      </c>
      <c r="AB26" s="124"/>
      <c r="AC26" s="172" t="s">
        <v>328</v>
      </c>
      <c r="AD26" s="169" t="s">
        <v>329</v>
      </c>
      <c r="AE26" s="169"/>
      <c r="AF26" s="180" t="str">
        <f t="shared" si="4"/>
        <v>CD - RULLO COMPRESSORE A RUOTE GOMMATE</v>
      </c>
      <c r="AG26" s="124"/>
      <c r="AH26" s="124"/>
      <c r="AI26" s="124"/>
      <c r="AJ26" s="124"/>
      <c r="AK26" s="124"/>
      <c r="AL26" s="120"/>
      <c r="AM26" s="120"/>
      <c r="AN26" s="120"/>
      <c r="AO26" s="120"/>
      <c r="AP26" s="57">
        <v>4</v>
      </c>
      <c r="AQ26" s="120"/>
      <c r="AR26" s="61" t="s">
        <v>307</v>
      </c>
      <c r="AS26" s="62" t="s">
        <v>308</v>
      </c>
      <c r="AT26" s="186"/>
      <c r="AU26" s="166">
        <v>3</v>
      </c>
      <c r="AV26" s="166" t="s">
        <v>332</v>
      </c>
      <c r="AW26" s="169" t="str">
        <f>CONCATENATE(AU26," - ",AV26)</f>
        <v>3 - Sagoma 3</v>
      </c>
      <c r="AX26" s="120"/>
      <c r="AY26" s="411" t="s">
        <v>273</v>
      </c>
      <c r="AZ26" s="411" t="s">
        <v>333</v>
      </c>
      <c r="BA26" s="411" t="str">
        <f>CONCATENATE(AY26," - ",AZ26)</f>
        <v>C - Cingolati</v>
      </c>
      <c r="BB26" s="120"/>
      <c r="BC26" s="120"/>
      <c r="BD26" s="120"/>
      <c r="BE26" s="120"/>
      <c r="BF26" s="120"/>
      <c r="BG26" s="414" t="s">
        <v>334</v>
      </c>
      <c r="BH26" s="132" t="s">
        <v>335</v>
      </c>
      <c r="BI26" s="132" t="str">
        <f t="shared" si="5"/>
        <v>=CONSU=####=####=####=</v>
      </c>
      <c r="BJ26" s="133"/>
      <c r="BK26" s="134">
        <f>IFERROR(FIND("=",$BI26,FIND("=",$BI26,LEN($BG26))+SUM($BJ26:BJ26)+1+BK$23)-(FIND("=",$BI26,2)+SUM($BJ26:BJ26)+BK$23)-1,0)</f>
        <v>4</v>
      </c>
      <c r="BL26" s="134">
        <f>IFERROR(FIND("=",$BI26,FIND("=",$BI26,LEN($BG26))+SUM($BJ26:BK26)+1+BL$23)-(FIND("=",$BI26,2)+SUM($BJ26:BK26)+BL$23)-1,0)</f>
        <v>4</v>
      </c>
      <c r="BM26" s="134">
        <f>IFERROR(FIND("=",$BI26,FIND("=",$BI26,LEN($BG26))+SUM($BJ26:BL26)+1+BM$23)-(FIND("=",$BI26,2)+SUM($BJ26:BL26)+BM$23)-1,0)</f>
        <v>4</v>
      </c>
      <c r="BN26" s="134">
        <f>IFERROR(FIND("=",$BI26,FIND("=",$BI26,LEN($BG26))+SUM($BJ26:BM26)+1+BN$23)-(FIND("=",$BI26,2)+SUM($BJ26:BM26)+BN$23)-1,0)</f>
        <v>0</v>
      </c>
      <c r="BO26" s="134">
        <f>IFERROR(FIND("=",$BI26,FIND("=",$BI26,LEN($BG26))+SUM($BJ26:BN26)+1+BO$23)-(FIND("=",$BI26,2)+SUM($BJ26:BN26)+BO$23)-1,0)</f>
        <v>0</v>
      </c>
      <c r="BP26" s="135">
        <v>2</v>
      </c>
      <c r="BQ26" s="135">
        <v>2</v>
      </c>
      <c r="BR26" s="135">
        <v>2</v>
      </c>
      <c r="BS26" s="135"/>
      <c r="BT26" s="135"/>
      <c r="BU26" s="133"/>
      <c r="BV26" s="108" t="str">
        <f>MID($CB26,SUMPRODUCT(LEN($BU26:BU26))+SUM($BJ26:BJ26)+1,IFERROR(FIND("#",$CB26,SUMPRODUCT(LEN($BU26:BU26))+SUM($BJ26:BJ26)+1),1000)-(SUMPRODUCT(LEN($BU26:BU26))+SUM($BJ26:BJ26)+1))</f>
        <v xml:space="preserve">CONSUMO IN LITRI / 100 KM PERCORSO URBANO </v>
      </c>
      <c r="BW26" s="108" t="str">
        <f>MID($CB26,SUMPRODUCT(LEN($BU26:BV26))+SUM($BJ26:BK26)+1,IFERROR(FIND("#",$CB26,SUMPRODUCT(LEN($BU26:BV26))+SUM($BJ26:BK26)+1),1000)-(SUMPRODUCT(LEN($BU26:BV26))+SUM($BJ26:BK26)+1))</f>
        <v xml:space="preserve"> A 90 KM/H </v>
      </c>
      <c r="BX26" s="108" t="str">
        <f>MID($CB26,SUMPRODUCT(LEN($BV26:BW26))+SUM($BK26:BL26)+1,IFERROR(FIND("#",$CB26,SUMPRODUCT(LEN($BV26:BW26))+SUM($BK26:BL26)+1),1000)-(SUMPRODUCT(LEN($BV26:BW26))+SUM($BK26:BL26)+1))</f>
        <v xml:space="preserve">; A 120 KM/H </v>
      </c>
      <c r="BY26" s="108" t="str">
        <f>MID($CB26,SUMPRODUCT(LEN($BV26:BX26))+SUM($BK26:BM26)+1,IFERROR(FIND("#",$CB26,SUMPRODUCT(LEN($BV26:BX26))+SUM($BK26:BM26)+1),1000)-(SUMPRODUCT(LEN($BV26:BX26))+SUM($BK26:BM26)+1))</f>
        <v>.</v>
      </c>
      <c r="BZ26" s="108" t="str">
        <f>MID($CB26,SUMPRODUCT(LEN($BV26:BY26))+SUM($BK26:BN26)+1,IFERROR(FIND("#",$CB26,SUMPRODUCT(LEN($BV26:BY26))+SUM($BK26:BN26)+1),1000)-(SUMPRODUCT(LEN($BV26:BY26))+SUM($BK26:BN26)+1))</f>
        <v/>
      </c>
      <c r="CA26" s="108" t="str">
        <f>MID($CB26,SUMPRODUCT(LEN($BV26:BZ26))+SUM($BK26:BO26)+1,IFERROR(FIND("#",$CB26,SUMPRODUCT(LEN($BV26:BZ26))+SUM($BK26:BO26)+1),1000)-(SUMPRODUCT(LEN($BV26:BZ26))+SUM($BK26:BO26)+1))</f>
        <v/>
      </c>
      <c r="CB26" s="118" t="s">
        <v>336</v>
      </c>
      <c r="CC26" s="118" t="s">
        <v>337</v>
      </c>
      <c r="CD26" s="124"/>
      <c r="CF26" s="174"/>
    </row>
    <row r="27" spans="1:85" ht="61.5" customHeight="1" x14ac:dyDescent="0.25">
      <c r="A27" s="120"/>
      <c r="B27" s="57" t="s">
        <v>318</v>
      </c>
      <c r="C27" s="73" t="s">
        <v>319</v>
      </c>
      <c r="D27" s="73" t="str">
        <f>B27&amp;" - "&amp;C27</f>
        <v>AA - ANNULLAMENTO</v>
      </c>
      <c r="E27" s="120"/>
      <c r="F27" s="165" t="s">
        <v>320</v>
      </c>
      <c r="G27" s="166" t="s">
        <v>264</v>
      </c>
      <c r="H27" s="164" t="s">
        <v>265</v>
      </c>
      <c r="I27" s="167" t="s">
        <v>321</v>
      </c>
      <c r="J27" s="169" t="str">
        <f t="shared" si="6"/>
        <v xml:space="preserve">EC - Macchina agricola operatrice trainata  eccezionale coltivatore rimorchiato </v>
      </c>
      <c r="K27" s="120"/>
      <c r="L27" s="169" t="s">
        <v>310</v>
      </c>
      <c r="M27" s="169" t="s">
        <v>340</v>
      </c>
      <c r="N27" s="169">
        <f t="shared" si="0"/>
        <v>2</v>
      </c>
      <c r="O27" s="169" t="str">
        <f t="shared" si="7"/>
        <v xml:space="preserve">D - PUO' CIRCOLARE SOLO A VUOTO O NEI LIMITI ART. 33 T.U. </v>
      </c>
      <c r="P27" s="120"/>
      <c r="Q27" s="61" t="s">
        <v>341</v>
      </c>
      <c r="R27" s="62" t="s">
        <v>342</v>
      </c>
      <c r="S27" s="73" t="str">
        <f t="shared" si="1"/>
        <v>GPL -  Gas di petrolio liquefatto</v>
      </c>
      <c r="T27" s="127"/>
      <c r="U27" s="61" t="s">
        <v>283</v>
      </c>
      <c r="V27" s="62" t="s">
        <v>325</v>
      </c>
      <c r="W27" s="73" t="str">
        <f t="shared" si="8"/>
        <v>S - IDRAUL.SERVOFRENO</v>
      </c>
      <c r="X27" s="124"/>
      <c r="Y27" s="170" t="s">
        <v>344</v>
      </c>
      <c r="Z27" s="178" t="s">
        <v>345</v>
      </c>
      <c r="AA27" s="180" t="str">
        <f t="shared" si="3"/>
        <v xml:space="preserve">K - CARICAMENTO SCAVO </v>
      </c>
      <c r="AB27" s="124"/>
      <c r="AC27" s="172" t="s">
        <v>346</v>
      </c>
      <c r="AD27" s="169" t="s">
        <v>347</v>
      </c>
      <c r="AE27" s="169"/>
      <c r="AF27" s="180" t="str">
        <f t="shared" si="4"/>
        <v xml:space="preserve">CF - RULLO COMPRESSORE CON ATTREZZATURA A PIEDI DI PECORA </v>
      </c>
      <c r="AG27" s="124"/>
      <c r="AH27" s="124"/>
      <c r="AI27" s="124"/>
      <c r="AJ27" s="124"/>
      <c r="AK27" s="124"/>
      <c r="AL27" s="120"/>
      <c r="AM27" s="120"/>
      <c r="AN27" s="120"/>
      <c r="AO27" s="120"/>
      <c r="AP27" s="120"/>
      <c r="AQ27" s="120"/>
      <c r="AR27" s="61" t="s">
        <v>330</v>
      </c>
      <c r="AS27" s="62" t="s">
        <v>331</v>
      </c>
      <c r="AT27" s="186"/>
      <c r="AU27" s="186"/>
      <c r="AV27" s="186"/>
      <c r="AW27" s="186"/>
      <c r="AX27" s="120"/>
      <c r="AY27" s="120"/>
      <c r="AZ27" s="120"/>
      <c r="BA27" s="120"/>
      <c r="BB27" s="120"/>
      <c r="BC27" s="120"/>
      <c r="BD27" s="120"/>
      <c r="BE27" s="120"/>
      <c r="BF27" s="120"/>
      <c r="BG27" s="414" t="s">
        <v>350</v>
      </c>
      <c r="BH27" s="132" t="s">
        <v>351</v>
      </c>
      <c r="BI27" s="132" t="str">
        <f t="shared" si="5"/>
        <v>=MASSA=####=</v>
      </c>
      <c r="BJ27" s="133"/>
      <c r="BK27" s="134">
        <f>IFERROR(FIND("=",$BI27,FIND("=",$BI27,LEN($BG27))+SUM($BJ27:BJ27)+1+BK$23)-(FIND("=",$BI27,2)+SUM($BJ27:BJ27)+BK$23)-1,0)</f>
        <v>4</v>
      </c>
      <c r="BL27" s="134">
        <f>IFERROR(FIND("=",$BI27,FIND("=",$BI27,LEN($BG27))+SUM($BJ27:BK27)+1+BL$23)-(FIND("=",$BI27,2)+SUM($BJ27:BK27)+BL$23)-1,0)</f>
        <v>0</v>
      </c>
      <c r="BM27" s="134">
        <f>IFERROR(FIND("=",$BI27,FIND("=",$BI27,LEN($BG27))+SUM($BJ27:BL27)+1+BM$23)-(FIND("=",$BI27,2)+SUM($BJ27:BL27)+BM$23)-1,0)</f>
        <v>0</v>
      </c>
      <c r="BN27" s="134">
        <f>IFERROR(FIND("=",$BI27,FIND("=",$BI27,LEN($BG27))+SUM($BJ27:BM27)+1+BN$23)-(FIND("=",$BI27,2)+SUM($BJ27:BM27)+BN$23)-1,0)</f>
        <v>0</v>
      </c>
      <c r="BO27" s="134">
        <f>IFERROR(FIND("=",$BI27,FIND("=",$BI27,LEN($BG27))+SUM($BJ27:BN27)+1+BO$23)-(FIND("=",$BI27,2)+SUM($BJ27:BN27)+BO$23)-1,0)</f>
        <v>0</v>
      </c>
      <c r="BP27" s="135"/>
      <c r="BQ27" s="135"/>
      <c r="BR27" s="135"/>
      <c r="BS27" s="135"/>
      <c r="BT27" s="135"/>
      <c r="BU27" s="133"/>
      <c r="BV27" s="108" t="str">
        <f>MID($CB27,SUMPRODUCT(LEN($BU27:BU27))+SUM($BJ27:BJ27)+1,IFERROR(FIND("#",$CB27,SUMPRODUCT(LEN($BU27:BU27))+SUM($BJ27:BJ27)+1),1000)-(SUMPRODUCT(LEN($BU27:BU27))+SUM($BJ27:BJ27)+1))</f>
        <v xml:space="preserve">MASSA A VUOTO = KG </v>
      </c>
      <c r="BW27" s="108" t="str">
        <f>MID($CB27,SUMPRODUCT(LEN($BU27:BV27))+SUM($BJ27:BK27)+1,IFERROR(FIND("#",$CB27,SUMPRODUCT(LEN($BU27:BV27))+SUM($BJ27:BK27)+1),1000)-(SUMPRODUCT(LEN($BU27:BV27))+SUM($BJ27:BK27)+1))</f>
        <v/>
      </c>
      <c r="BX27" s="108" t="str">
        <f>MID($CB27,SUMPRODUCT(LEN($BV27:BW27))+SUM($BK27:BL27)+1,IFERROR(FIND("#",$CB27,SUMPRODUCT(LEN($BV27:BW27))+SUM($BK27:BL27)+1),1000)-(SUMPRODUCT(LEN($BV27:BW27))+SUM($BK27:BL27)+1))</f>
        <v/>
      </c>
      <c r="BY27" s="108" t="str">
        <f>MID($CB27,SUMPRODUCT(LEN($BV27:BX27))+SUM($BK27:BM27)+1,IFERROR(FIND("#",$CB27,SUMPRODUCT(LEN($BV27:BX27))+SUM($BK27:BM27)+1),1000)-(SUMPRODUCT(LEN($BV27:BX27))+SUM($BK27:BM27)+1))</f>
        <v/>
      </c>
      <c r="BZ27" s="108" t="str">
        <f>MID($CB27,SUMPRODUCT(LEN($BV27:BY27))+SUM($BK27:BN27)+1,IFERROR(FIND("#",$CB27,SUMPRODUCT(LEN($BV27:BY27))+SUM($BK27:BN27)+1),1000)-(SUMPRODUCT(LEN($BV27:BY27))+SUM($BK27:BN27)+1))</f>
        <v/>
      </c>
      <c r="CA27" s="108" t="str">
        <f>MID($CB27,SUMPRODUCT(LEN($BV27:BZ27))+SUM($BK27:BO27)+1,IFERROR(FIND("#",$CB27,SUMPRODUCT(LEN($BV27:BZ27))+SUM($BK27:BO27)+1),1000)-(SUMPRODUCT(LEN($BV27:BZ27))+SUM($BK27:BO27)+1))</f>
        <v/>
      </c>
      <c r="CB27" s="118" t="s">
        <v>352</v>
      </c>
      <c r="CC27" s="118" t="s">
        <v>352</v>
      </c>
      <c r="CD27" s="124"/>
    </row>
    <row r="28" spans="1:85" ht="61.5" customHeight="1" x14ac:dyDescent="0.25">
      <c r="A28" s="120"/>
      <c r="B28" s="120"/>
      <c r="C28" s="120"/>
      <c r="D28" s="120"/>
      <c r="E28" s="120"/>
      <c r="F28" s="165" t="s">
        <v>338</v>
      </c>
      <c r="G28" s="166" t="s">
        <v>264</v>
      </c>
      <c r="H28" s="164" t="s">
        <v>265</v>
      </c>
      <c r="I28" s="167" t="s">
        <v>339</v>
      </c>
      <c r="J28" s="169" t="str">
        <f t="shared" si="6"/>
        <v xml:space="preserve">EF - Macchina agricola operatrice trainata  eccezionale falciatrice </v>
      </c>
      <c r="K28" s="120"/>
      <c r="L28" s="169" t="s">
        <v>300</v>
      </c>
      <c r="M28" s="169" t="s">
        <v>355</v>
      </c>
      <c r="N28" s="169">
        <f t="shared" si="0"/>
        <v>1</v>
      </c>
      <c r="O28" s="169" t="str">
        <f t="shared" si="7"/>
        <v xml:space="preserve">F - I COMANDI DEL SISTEMA LAVORO DEVONO ESSERE BLOCCATI. </v>
      </c>
      <c r="P28" s="120"/>
      <c r="Q28" s="61" t="s">
        <v>356</v>
      </c>
      <c r="R28" s="62" t="s">
        <v>357</v>
      </c>
      <c r="S28" s="73" t="str">
        <f t="shared" si="1"/>
        <v>MSC -  Miscela</v>
      </c>
      <c r="T28" s="127"/>
      <c r="U28" s="61" t="s">
        <v>310</v>
      </c>
      <c r="V28" s="62" t="s">
        <v>343</v>
      </c>
      <c r="W28" s="73" t="str">
        <f t="shared" si="8"/>
        <v>D - IDRAUL.SFRENO.DEPR</v>
      </c>
      <c r="X28" s="124"/>
      <c r="Y28" s="170" t="s">
        <v>360</v>
      </c>
      <c r="Z28" s="178" t="s">
        <v>361</v>
      </c>
      <c r="AA28" s="180" t="str">
        <f t="shared" si="3"/>
        <v xml:space="preserve">L - LIVELLAMENTO </v>
      </c>
      <c r="AB28" s="124"/>
      <c r="AC28" s="172" t="s">
        <v>362</v>
      </c>
      <c r="AD28" s="169" t="s">
        <v>363</v>
      </c>
      <c r="AE28" s="169"/>
      <c r="AF28" s="180" t="str">
        <f t="shared" si="4"/>
        <v>CG - RULLO COMPRESSORE A VIBRAZIONE</v>
      </c>
      <c r="AG28" s="124"/>
      <c r="AH28" s="124"/>
      <c r="AI28" s="124"/>
      <c r="AJ28" s="124"/>
      <c r="AK28" s="124"/>
      <c r="AL28" s="120"/>
      <c r="AM28" s="120"/>
      <c r="AN28" s="120"/>
      <c r="AO28" s="120"/>
      <c r="AP28" s="120"/>
      <c r="AQ28" s="120"/>
      <c r="AR28" s="61" t="s">
        <v>348</v>
      </c>
      <c r="AS28" s="62" t="s">
        <v>349</v>
      </c>
      <c r="AT28" s="186"/>
      <c r="AU28" s="186"/>
      <c r="AV28" s="186"/>
      <c r="AW28" s="186"/>
      <c r="AX28" s="120"/>
      <c r="AY28" s="120"/>
      <c r="AZ28" s="120"/>
      <c r="BA28" s="120"/>
      <c r="BB28" s="120"/>
      <c r="BC28" s="120"/>
      <c r="BD28" s="120"/>
      <c r="BE28" s="120"/>
      <c r="BF28" s="120"/>
      <c r="BG28" s="414" t="s">
        <v>366</v>
      </c>
      <c r="BH28" s="132" t="s">
        <v>367</v>
      </c>
      <c r="BI28" s="132" t="str">
        <f t="shared" si="5"/>
        <v>=PASSO=####=</v>
      </c>
      <c r="BJ28" s="133"/>
      <c r="BK28" s="134">
        <f>IFERROR(FIND("=",$BI28,FIND("=",$BI28,LEN($BG28))+SUM($BJ28:BJ28)+1+BK$23)-(FIND("=",$BI28,2)+SUM($BJ28:BJ28)+BK$23)-1,0)</f>
        <v>4</v>
      </c>
      <c r="BL28" s="134">
        <f>IFERROR(FIND("=",$BI28,FIND("=",$BI28,LEN($BG28))+SUM($BJ28:BK28)+1+BL$23)-(FIND("=",$BI28,2)+SUM($BJ28:BK28)+BL$23)-1,0)</f>
        <v>0</v>
      </c>
      <c r="BM28" s="134">
        <f>IFERROR(FIND("=",$BI28,FIND("=",$BI28,LEN($BG28))+SUM($BJ28:BL28)+1+BM$23)-(FIND("=",$BI28,2)+SUM($BJ28:BL28)+BM$23)-1,0)</f>
        <v>0</v>
      </c>
      <c r="BN28" s="134">
        <f>IFERROR(FIND("=",$BI28,FIND("=",$BI28,LEN($BG28))+SUM($BJ28:BM28)+1+BN$23)-(FIND("=",$BI28,2)+SUM($BJ28:BM28)+BN$23)-1,0)</f>
        <v>0</v>
      </c>
      <c r="BO28" s="134">
        <f>IFERROR(FIND("=",$BI28,FIND("=",$BI28,LEN($BG28))+SUM($BJ28:BN28)+1+BO$23)-(FIND("=",$BI28,2)+SUM($BJ28:BN28)+BO$23)-1,0)</f>
        <v>0</v>
      </c>
      <c r="BP28" s="135"/>
      <c r="BQ28" s="135"/>
      <c r="BR28" s="135"/>
      <c r="BS28" s="135"/>
      <c r="BT28" s="135"/>
      <c r="BU28" s="133"/>
      <c r="BV28" s="108" t="str">
        <f>MID($CB28,SUMPRODUCT(LEN($BU28:BU28))+SUM($BJ28:BJ28)+1,IFERROR(FIND("#",$CB28,SUMPRODUCT(LEN($BU28:BU28))+SUM($BJ28:BJ28)+1),1000)-(SUMPRODUCT(LEN($BU28:BU28))+SUM($BJ28:BJ28)+1))</f>
        <v xml:space="preserve">DISTANZA TRA IL CENTRO DELL'OCCHIONE E L'ASSE </v>
      </c>
      <c r="BW28" s="108" t="str">
        <f>MID($CB28,SUMPRODUCT(LEN($BU28:BV28))+SUM($BJ28:BK28)+1,IFERROR(FIND("#",$CB28,SUMPRODUCT(LEN($BU28:BV28))+SUM($BJ28:BK28)+1),1000)-(SUMPRODUCT(LEN($BU28:BV28))+SUM($BJ28:BK28)+1))</f>
        <v xml:space="preserve"> MM</v>
      </c>
      <c r="BX28" s="108" t="str">
        <f>MID($CB28,SUMPRODUCT(LEN($BV28:BW28))+SUM($BK28:BL28)+1,IFERROR(FIND("#",$CB28,SUMPRODUCT(LEN($BV28:BW28))+SUM($BK28:BL28)+1),1000)-(SUMPRODUCT(LEN($BV28:BW28))+SUM($BK28:BL28)+1))</f>
        <v/>
      </c>
      <c r="BY28" s="108" t="str">
        <f>MID($CB28,SUMPRODUCT(LEN($BV28:BX28))+SUM($BK28:BM28)+1,IFERROR(FIND("#",$CB28,SUMPRODUCT(LEN($BV28:BX28))+SUM($BK28:BM28)+1),1000)-(SUMPRODUCT(LEN($BV28:BX28))+SUM($BK28:BM28)+1))</f>
        <v/>
      </c>
      <c r="BZ28" s="108" t="str">
        <f>MID($CB28,SUMPRODUCT(LEN($BV28:BY28))+SUM($BK28:BN28)+1,IFERROR(FIND("#",$CB28,SUMPRODUCT(LEN($BV28:BY28))+SUM($BK28:BN28)+1),1000)-(SUMPRODUCT(LEN($BV28:BY28))+SUM($BK28:BN28)+1))</f>
        <v/>
      </c>
      <c r="CA28" s="108" t="str">
        <f>MID($CB28,SUMPRODUCT(LEN($BV28:BZ28))+SUM($BK28:BO28)+1,IFERROR(FIND("#",$CB28,SUMPRODUCT(LEN($BV28:BZ28))+SUM($BK28:BO28)+1),1000)-(SUMPRODUCT(LEN($BV28:BZ28))+SUM($BK28:BO28)+1))</f>
        <v/>
      </c>
      <c r="CB28" s="118" t="s">
        <v>368</v>
      </c>
      <c r="CC28" s="118" t="s">
        <v>368</v>
      </c>
      <c r="CD28" s="124"/>
    </row>
    <row r="29" spans="1:85" ht="61.5" customHeight="1" x14ac:dyDescent="0.25">
      <c r="A29" s="120"/>
      <c r="B29" s="120"/>
      <c r="C29" s="120"/>
      <c r="D29" s="120"/>
      <c r="E29" s="120"/>
      <c r="F29" s="165" t="s">
        <v>353</v>
      </c>
      <c r="G29" s="166" t="s">
        <v>264</v>
      </c>
      <c r="H29" s="164" t="s">
        <v>265</v>
      </c>
      <c r="I29" s="167" t="s">
        <v>354</v>
      </c>
      <c r="J29" s="169" t="str">
        <f t="shared" si="6"/>
        <v xml:space="preserve">EL - Macchina agricola operatrice trainata  eccezionale falciacaricatrice </v>
      </c>
      <c r="K29" s="120"/>
      <c r="L29" s="169" t="s">
        <v>326</v>
      </c>
      <c r="M29" s="169" t="s">
        <v>371</v>
      </c>
      <c r="N29" s="169">
        <f t="shared" si="0"/>
        <v>1</v>
      </c>
      <c r="O29" s="169" t="str">
        <f t="shared" si="7"/>
        <v xml:space="preserve">G - ATTREZZI E BRACCI BLOCCATI. </v>
      </c>
      <c r="P29" s="120"/>
      <c r="Q29" s="61" t="s">
        <v>372</v>
      </c>
      <c r="R29" s="62" t="s">
        <v>373</v>
      </c>
      <c r="S29" s="73" t="str">
        <f t="shared" si="1"/>
        <v>ELE -  Elettrico</v>
      </c>
      <c r="T29" s="127"/>
      <c r="U29" s="61" t="s">
        <v>358</v>
      </c>
      <c r="V29" s="62" t="s">
        <v>359</v>
      </c>
      <c r="W29" s="73" t="str">
        <f t="shared" si="8"/>
        <v>R - IDROPNEUMATICO</v>
      </c>
      <c r="X29" s="124"/>
      <c r="Y29" s="170" t="s">
        <v>298</v>
      </c>
      <c r="Z29" s="178" t="s">
        <v>375</v>
      </c>
      <c r="AA29" s="180" t="str">
        <f t="shared" si="3"/>
        <v xml:space="preserve">M - MANUTENZIONE STRADE </v>
      </c>
      <c r="AB29" s="124"/>
      <c r="AC29" s="172" t="s">
        <v>376</v>
      </c>
      <c r="AD29" s="169" t="s">
        <v>377</v>
      </c>
      <c r="AE29" s="169"/>
      <c r="AF29" s="180" t="str">
        <f t="shared" si="4"/>
        <v>CH - COMPRESSORE A PIASTRA</v>
      </c>
      <c r="AG29" s="124"/>
      <c r="AH29" s="124"/>
      <c r="AI29" s="124"/>
      <c r="AJ29" s="124"/>
      <c r="AK29" s="124"/>
      <c r="AL29" s="120"/>
      <c r="AM29" s="120"/>
      <c r="AN29" s="120"/>
      <c r="AO29" s="120"/>
      <c r="AP29" s="120"/>
      <c r="AQ29" s="120"/>
      <c r="AR29" s="61" t="s">
        <v>364</v>
      </c>
      <c r="AS29" s="62" t="s">
        <v>365</v>
      </c>
      <c r="AT29" s="186"/>
      <c r="AU29" s="186"/>
      <c r="AV29" s="186"/>
      <c r="AW29" s="186"/>
      <c r="AX29" s="120"/>
      <c r="AY29" s="120"/>
      <c r="AZ29" s="120"/>
      <c r="BA29" s="120"/>
      <c r="BB29" s="120"/>
      <c r="BC29" s="120"/>
      <c r="BD29" s="120"/>
      <c r="BE29" s="120"/>
      <c r="BF29" s="120"/>
      <c r="BG29" s="414" t="s">
        <v>380</v>
      </c>
      <c r="BH29" s="132" t="s">
        <v>381</v>
      </c>
      <c r="BI29" s="132" t="str">
        <f t="shared" si="5"/>
        <v>=PMA2A=#####=#####=</v>
      </c>
      <c r="BJ29" s="133"/>
      <c r="BK29" s="134">
        <f>IFERROR(FIND("=",$BI29,FIND("=",$BI29,LEN($BG29))+SUM($BJ29:BJ29)+1+BK$23)-(FIND("=",$BI29,2)+SUM($BJ29:BJ29)+BK$23)-1,0)</f>
        <v>5</v>
      </c>
      <c r="BL29" s="134">
        <f>IFERROR(FIND("=",$BI29,FIND("=",$BI29,LEN($BG29))+SUM($BJ29:BK29)+1+BL$23)-(FIND("=",$BI29,2)+SUM($BJ29:BK29)+BL$23)-1,0)</f>
        <v>5</v>
      </c>
      <c r="BM29" s="134">
        <f>IFERROR(FIND("=",$BI29,FIND("=",$BI29,LEN($BG29))+SUM($BJ29:BL29)+1+BM$23)-(FIND("=",$BI29,2)+SUM($BJ29:BL29)+BM$23)-1,0)</f>
        <v>0</v>
      </c>
      <c r="BN29" s="134">
        <f>IFERROR(FIND("=",$BI29,FIND("=",$BI29,LEN($BG29))+SUM($BJ29:BM29)+1+BN$23)-(FIND("=",$BI29,2)+SUM($BJ29:BM29)+BN$23)-1,0)</f>
        <v>0</v>
      </c>
      <c r="BO29" s="134">
        <f>IFERROR(FIND("=",$BI29,FIND("=",$BI29,LEN($BG29))+SUM($BJ29:BN29)+1+BO$23)-(FIND("=",$BI29,2)+SUM($BJ29:BN29)+BO$23)-1,0)</f>
        <v>0</v>
      </c>
      <c r="BP29" s="135"/>
      <c r="BQ29" s="135"/>
      <c r="BR29" s="135"/>
      <c r="BS29" s="135"/>
      <c r="BT29" s="135"/>
      <c r="BU29" s="133"/>
      <c r="BV29" s="108" t="str">
        <f>MID($CB29,SUMPRODUCT(LEN($BU29:BU29))+SUM($BJ29:BJ29)+1,IFERROR(FIND("#",$CB29,SUMPRODUCT(LEN($BU29:BU29))+SUM($BJ29:BJ29)+1),1000)-(SUMPRODUCT(LEN($BU29:BU29))+SUM($BJ29:BJ29)+1))</f>
        <v>MASSE MAX AMMESSE-ASSE ANT.KG.</v>
      </c>
      <c r="BW29" s="108" t="str">
        <f>MID($CB29,SUMPRODUCT(LEN($BU29:BV29))+SUM($BJ29:BK29)+1,IFERROR(FIND("#",$CB29,SUMPRODUCT(LEN($BU29:BV29))+SUM($BJ29:BK29)+1),1000)-(SUMPRODUCT(LEN($BU29:BV29))+SUM($BJ29:BK29)+1))</f>
        <v xml:space="preserve"> ASSE POST.KG.</v>
      </c>
      <c r="BX29" s="108" t="str">
        <f>MID($CB29,SUMPRODUCT(LEN($BV29:BW29))+SUM($BK29:BL29)+1,IFERROR(FIND("#",$CB29,SUMPRODUCT(LEN($BV29:BW29))+SUM($BK29:BL29)+1),1000)-(SUMPRODUCT(LEN($BV29:BW29))+SUM($BK29:BL29)+1))</f>
        <v/>
      </c>
      <c r="BY29" s="108" t="str">
        <f>MID($CB29,SUMPRODUCT(LEN($BV29:BX29))+SUM($BK29:BM29)+1,IFERROR(FIND("#",$CB29,SUMPRODUCT(LEN($BV29:BX29))+SUM($BK29:BM29)+1),1000)-(SUMPRODUCT(LEN($BV29:BX29))+SUM($BK29:BM29)+1))</f>
        <v/>
      </c>
      <c r="BZ29" s="108" t="str">
        <f>MID($CB29,SUMPRODUCT(LEN($BV29:BY29))+SUM($BK29:BN29)+1,IFERROR(FIND("#",$CB29,SUMPRODUCT(LEN($BV29:BY29))+SUM($BK29:BN29)+1),1000)-(SUMPRODUCT(LEN($BV29:BY29))+SUM($BK29:BN29)+1))</f>
        <v/>
      </c>
      <c r="CA29" s="108" t="str">
        <f>MID($CB29,SUMPRODUCT(LEN($BV29:BZ29))+SUM($BK29:BO29)+1,IFERROR(FIND("#",$CB29,SUMPRODUCT(LEN($BV29:BZ29))+SUM($BK29:BO29)+1),1000)-(SUMPRODUCT(LEN($BV29:BZ29))+SUM($BK29:BO29)+1))</f>
        <v/>
      </c>
      <c r="CB29" s="118" t="s">
        <v>382</v>
      </c>
      <c r="CC29" s="118" t="s">
        <v>382</v>
      </c>
      <c r="CD29" s="124"/>
    </row>
    <row r="30" spans="1:85" ht="61.5" customHeight="1" x14ac:dyDescent="0.25">
      <c r="A30" s="120"/>
      <c r="B30" s="120"/>
      <c r="C30" s="120"/>
      <c r="D30" s="120"/>
      <c r="E30" s="120"/>
      <c r="F30" s="165" t="s">
        <v>369</v>
      </c>
      <c r="G30" s="166" t="s">
        <v>264</v>
      </c>
      <c r="H30" s="164" t="s">
        <v>265</v>
      </c>
      <c r="I30" s="167" t="s">
        <v>370</v>
      </c>
      <c r="J30" s="169" t="str">
        <f t="shared" si="6"/>
        <v xml:space="preserve">EN - Macch. Agr. Operatrice trainata eccezionale  falcia-condiziona-andanatrice </v>
      </c>
      <c r="K30" s="120"/>
      <c r="L30" s="169" t="s">
        <v>385</v>
      </c>
      <c r="M30" s="169" t="s">
        <v>386</v>
      </c>
      <c r="N30" s="169">
        <f t="shared" si="0"/>
        <v>1</v>
      </c>
      <c r="O30" s="169" t="str">
        <f t="shared" si="7"/>
        <v xml:space="preserve">H - TAGLIENTE E DENTI PROTETTI E SEGNALATI </v>
      </c>
      <c r="P30" s="120"/>
      <c r="Q30" s="173"/>
      <c r="R30" s="173"/>
      <c r="S30" s="173"/>
      <c r="T30" s="127"/>
      <c r="U30" s="61" t="s">
        <v>265</v>
      </c>
      <c r="V30" s="62" t="s">
        <v>374</v>
      </c>
      <c r="W30" s="73" t="str">
        <f t="shared" si="8"/>
        <v>E - IDRAUL.SFRENO.PRES</v>
      </c>
      <c r="X30" s="124"/>
      <c r="Y30" s="170" t="s">
        <v>271</v>
      </c>
      <c r="Z30" s="178" t="s">
        <v>388</v>
      </c>
      <c r="AA30" s="180" t="str">
        <f t="shared" si="3"/>
        <v xml:space="preserve">P - PERFORAZIONE </v>
      </c>
      <c r="AB30" s="124"/>
      <c r="AC30" s="172" t="s">
        <v>389</v>
      </c>
      <c r="AD30" s="169" t="s">
        <v>390</v>
      </c>
      <c r="AE30" s="169"/>
      <c r="AF30" s="180" t="str">
        <f t="shared" si="4"/>
        <v>FA - ASFALTATRICE</v>
      </c>
      <c r="AG30" s="124"/>
      <c r="AH30" s="124"/>
      <c r="AI30" s="124"/>
      <c r="AJ30" s="124"/>
      <c r="AK30" s="124"/>
      <c r="AL30" s="120"/>
      <c r="AM30" s="120"/>
      <c r="AN30" s="120"/>
      <c r="AO30" s="120"/>
      <c r="AP30" s="120"/>
      <c r="AQ30" s="120"/>
      <c r="AR30" s="61" t="s">
        <v>378</v>
      </c>
      <c r="AS30" s="62" t="s">
        <v>379</v>
      </c>
      <c r="AT30" s="186"/>
      <c r="AU30" s="186"/>
      <c r="AV30" s="186"/>
      <c r="AW30" s="186"/>
      <c r="AX30" s="120"/>
      <c r="AY30" s="120"/>
      <c r="AZ30" s="120"/>
      <c r="BA30" s="120"/>
      <c r="BB30" s="120"/>
      <c r="BC30" s="120"/>
      <c r="BD30" s="120"/>
      <c r="BE30" s="120"/>
      <c r="BF30" s="120"/>
      <c r="BG30" s="414" t="s">
        <v>393</v>
      </c>
      <c r="BH30" s="132" t="s">
        <v>394</v>
      </c>
      <c r="BI30" s="132" t="str">
        <f t="shared" si="5"/>
        <v>=PMA3A=#####=#####=#####=</v>
      </c>
      <c r="BJ30" s="133"/>
      <c r="BK30" s="134">
        <f>IFERROR(FIND("=",$BI30,FIND("=",$BI30,LEN($BG30))+SUM($BJ30:BJ30)+1+BK$23)-(FIND("=",$BI30,2)+SUM($BJ30:BJ30)+BK$23)-1,0)</f>
        <v>5</v>
      </c>
      <c r="BL30" s="134">
        <f>IFERROR(FIND("=",$BI30,FIND("=",$BI30,LEN($BG30))+SUM($BJ30:BK30)+1+BL$23)-(FIND("=",$BI30,2)+SUM($BJ30:BK30)+BL$23)-1,0)</f>
        <v>5</v>
      </c>
      <c r="BM30" s="134">
        <f>IFERROR(FIND("=",$BI30,FIND("=",$BI30,LEN($BG30))+SUM($BJ30:BL30)+1+BM$23)-(FIND("=",$BI30,2)+SUM($BJ30:BL30)+BM$23)-1,0)</f>
        <v>5</v>
      </c>
      <c r="BN30" s="134">
        <f>IFERROR(FIND("=",$BI30,FIND("=",$BI30,LEN($BG30))+SUM($BJ30:BM30)+1+BN$23)-(FIND("=",$BI30,2)+SUM($BJ30:BM30)+BN$23)-1,0)</f>
        <v>0</v>
      </c>
      <c r="BO30" s="134">
        <f>IFERROR(FIND("=",$BI30,FIND("=",$BI30,LEN($BG30))+SUM($BJ30:BN30)+1+BO$23)-(FIND("=",$BI30,2)+SUM($BJ30:BN30)+BO$23)-1,0)</f>
        <v>0</v>
      </c>
      <c r="BP30" s="135"/>
      <c r="BQ30" s="135"/>
      <c r="BR30" s="135"/>
      <c r="BS30" s="135"/>
      <c r="BT30" s="135"/>
      <c r="BU30" s="133"/>
      <c r="BV30" s="108" t="str">
        <f>MID($CB30,SUMPRODUCT(LEN($BU30:BU30))+SUM($BJ30:BJ30)+1,IFERROR(FIND("#",$CB30,SUMPRODUCT(LEN($BU30:BU30))+SUM($BJ30:BJ30)+1),1000)-(SUMPRODUCT(LEN($BU30:BU30))+SUM($BJ30:BJ30)+1))</f>
        <v xml:space="preserve">MASSE MAX AMMESSE-ASSE 1-KG. </v>
      </c>
      <c r="BW30" s="108" t="str">
        <f>MID($CB30,SUMPRODUCT(LEN($BU30:BV30))+SUM($BJ30:BK30)+1,IFERROR(FIND("#",$CB30,SUMPRODUCT(LEN($BU30:BV30))+SUM($BJ30:BK30)+1),1000)-(SUMPRODUCT(LEN($BU30:BV30))+SUM($BJ30:BK30)+1))</f>
        <v xml:space="preserve"> ASSE 2-KG. </v>
      </c>
      <c r="BX30" s="108" t="str">
        <f>MID($CB30,SUMPRODUCT(LEN($BV30:BW30))+SUM($BK30:BL30)+1,IFERROR(FIND("#",$CB30,SUMPRODUCT(LEN($BV30:BW30))+SUM($BK30:BL30)+1),1000)-(SUMPRODUCT(LEN($BV30:BW30))+SUM($BK30:BL30)+1))</f>
        <v xml:space="preserve"> ASSE 3-KG. </v>
      </c>
      <c r="BY30" s="108" t="str">
        <f>MID($CB30,SUMPRODUCT(LEN($BV30:BX30))+SUM($BK30:BM30)+1,IFERROR(FIND("#",$CB30,SUMPRODUCT(LEN($BV30:BX30))+SUM($BK30:BM30)+1),1000)-(SUMPRODUCT(LEN($BV30:BX30))+SUM($BK30:BM30)+1))</f>
        <v/>
      </c>
      <c r="BZ30" s="108" t="str">
        <f>MID($CB30,SUMPRODUCT(LEN($BV30:BY30))+SUM($BK30:BN30)+1,IFERROR(FIND("#",$CB30,SUMPRODUCT(LEN($BV30:BY30))+SUM($BK30:BN30)+1),1000)-(SUMPRODUCT(LEN($BV30:BY30))+SUM($BK30:BN30)+1))</f>
        <v/>
      </c>
      <c r="CA30" s="108" t="str">
        <f>MID($CB30,SUMPRODUCT(LEN($BV30:BZ30))+SUM($BK30:BO30)+1,IFERROR(FIND("#",$CB30,SUMPRODUCT(LEN($BV30:BZ30))+SUM($BK30:BO30)+1),1000)-(SUMPRODUCT(LEN($BV30:BZ30))+SUM($BK30:BO30)+1))</f>
        <v/>
      </c>
      <c r="CB30" s="118" t="s">
        <v>395</v>
      </c>
      <c r="CC30" s="118" t="s">
        <v>395</v>
      </c>
      <c r="CD30" s="124"/>
    </row>
    <row r="31" spans="1:85" ht="61.5" customHeight="1" x14ac:dyDescent="0.25">
      <c r="A31" s="120"/>
      <c r="B31" s="120"/>
      <c r="C31" s="120"/>
      <c r="D31" s="120"/>
      <c r="E31" s="120"/>
      <c r="F31" s="165" t="s">
        <v>383</v>
      </c>
      <c r="G31" s="166" t="s">
        <v>264</v>
      </c>
      <c r="H31" s="164" t="s">
        <v>265</v>
      </c>
      <c r="I31" s="167" t="s">
        <v>384</v>
      </c>
      <c r="J31" s="169" t="str">
        <f t="shared" si="6"/>
        <v xml:space="preserve">EP - Macch. Agr. Operatrice trainata  eccezionale raccogli-pressa-imballatrice </v>
      </c>
      <c r="K31" s="120"/>
      <c r="L31" s="169" t="s">
        <v>256</v>
      </c>
      <c r="M31" s="169" t="s">
        <v>398</v>
      </c>
      <c r="N31" s="169">
        <f t="shared" si="0"/>
        <v>2</v>
      </c>
      <c r="O31" s="169" t="str">
        <f t="shared" si="7"/>
        <v xml:space="preserve">I - INGOMBRI DEGLI ATTREZZI SEGNALATI SUI TRE LATI CON   STRISCE BIANCHE E ROSSE RETRORIFLETTENTI </v>
      </c>
      <c r="P31" s="120"/>
      <c r="Q31" s="173"/>
      <c r="R31" s="173"/>
      <c r="S31" s="173"/>
      <c r="T31" s="127"/>
      <c r="U31" s="61" t="s">
        <v>294</v>
      </c>
      <c r="V31" s="62" t="s">
        <v>387</v>
      </c>
      <c r="W31" s="73" t="str">
        <f t="shared" si="8"/>
        <v>B - IDRAUL.SERB.PRESS.</v>
      </c>
      <c r="X31" s="124"/>
      <c r="Y31" s="170" t="s">
        <v>358</v>
      </c>
      <c r="Z31" s="178" t="s">
        <v>400</v>
      </c>
      <c r="AA31" s="180" t="str">
        <f t="shared" si="3"/>
        <v xml:space="preserve">R - SCAVO-TRASPORTO </v>
      </c>
      <c r="AB31" s="124"/>
      <c r="AC31" s="172" t="s">
        <v>401</v>
      </c>
      <c r="AD31" s="169" t="s">
        <v>402</v>
      </c>
      <c r="AE31" s="169"/>
      <c r="AF31" s="180" t="str">
        <f t="shared" si="4"/>
        <v>FB - BITUMITRICE</v>
      </c>
      <c r="AG31" s="124"/>
      <c r="AH31" s="124"/>
      <c r="AI31" s="124"/>
      <c r="AJ31" s="124"/>
      <c r="AK31" s="124"/>
      <c r="AL31" s="120"/>
      <c r="AM31" s="120"/>
      <c r="AN31" s="120"/>
      <c r="AO31" s="120"/>
      <c r="AP31" s="120"/>
      <c r="AQ31" s="120"/>
      <c r="AR31" s="61" t="s">
        <v>391</v>
      </c>
      <c r="AS31" s="62" t="s">
        <v>392</v>
      </c>
      <c r="AT31" s="186"/>
      <c r="AU31" s="186"/>
      <c r="AV31" s="186"/>
      <c r="AW31" s="186"/>
      <c r="AX31" s="120"/>
      <c r="AY31" s="120"/>
      <c r="AZ31" s="120"/>
      <c r="BA31" s="120"/>
      <c r="BB31" s="120"/>
      <c r="BC31" s="120"/>
      <c r="BD31" s="120"/>
      <c r="BE31" s="120"/>
      <c r="BF31" s="120"/>
      <c r="BG31" s="414" t="s">
        <v>405</v>
      </c>
      <c r="BH31" s="132" t="s">
        <v>406</v>
      </c>
      <c r="BI31" s="132" t="str">
        <f t="shared" si="5"/>
        <v>=PMA4A=#####=#####=#####=#####=</v>
      </c>
      <c r="BJ31" s="133"/>
      <c r="BK31" s="134">
        <f>IFERROR(FIND("=",$BI31,FIND("=",$BI31,LEN($BG31))+SUM($BJ31:BJ31)+1+BK$23)-(FIND("=",$BI31,2)+SUM($BJ31:BJ31)+BK$23)-1,0)</f>
        <v>5</v>
      </c>
      <c r="BL31" s="134">
        <f>IFERROR(FIND("=",$BI31,FIND("=",$BI31,LEN($BG31))+SUM($BJ31:BK31)+1+BL$23)-(FIND("=",$BI31,2)+SUM($BJ31:BK31)+BL$23)-1,0)</f>
        <v>5</v>
      </c>
      <c r="BM31" s="134">
        <f>IFERROR(FIND("=",$BI31,FIND("=",$BI31,LEN($BG31))+SUM($BJ31:BL31)+1+BM$23)-(FIND("=",$BI31,2)+SUM($BJ31:BL31)+BM$23)-1,0)</f>
        <v>5</v>
      </c>
      <c r="BN31" s="134">
        <f>IFERROR(FIND("=",$BI31,FIND("=",$BI31,LEN($BG31))+SUM($BJ31:BM31)+1+BN$23)-(FIND("=",$BI31,2)+SUM($BJ31:BM31)+BN$23)-1,0)</f>
        <v>5</v>
      </c>
      <c r="BO31" s="134">
        <f>IFERROR(FIND("=",$BI31,FIND("=",$BI31,LEN($BG31))+SUM($BJ31:BN31)+1+BO$23)-(FIND("=",$BI31,2)+SUM($BJ31:BN31)+BO$23)-1,0)</f>
        <v>0</v>
      </c>
      <c r="BP31" s="135"/>
      <c r="BQ31" s="135"/>
      <c r="BR31" s="135"/>
      <c r="BS31" s="135"/>
      <c r="BT31" s="135"/>
      <c r="BU31" s="133"/>
      <c r="BV31" s="108" t="str">
        <f>MID($CB31,SUMPRODUCT(LEN($BU31:BU31))+SUM($BJ31:BJ31)+1,IFERROR(FIND("#",$CB31,SUMPRODUCT(LEN($BU31:BU31))+SUM($BJ31:BJ31)+1),1000)-(SUMPRODUCT(LEN($BU31:BU31))+SUM($BJ31:BJ31)+1))</f>
        <v>MASSE MAX AMMESSE-ASSE 1-KG.</v>
      </c>
      <c r="BW31" s="108" t="str">
        <f>MID($CB31,SUMPRODUCT(LEN($BU31:BV31))+SUM($BJ31:BK31)+1,IFERROR(FIND("#",$CB31,SUMPRODUCT(LEN($BU31:BV31))+SUM($BJ31:BK31)+1),1000)-(SUMPRODUCT(LEN($BU31:BV31))+SUM($BJ31:BK31)+1))</f>
        <v xml:space="preserve"> ; ASSE 2-KG. </v>
      </c>
      <c r="BX31" s="108" t="str">
        <f>MID($CB31,SUMPRODUCT(LEN($BV31:BW31))+SUM($BK31:BL31)+1,IFERROR(FIND("#",$CB31,SUMPRODUCT(LEN($BV31:BW31))+SUM($BK31:BL31)+1),1000)-(SUMPRODUCT(LEN($BV31:BW31))+SUM($BK31:BL31)+1))</f>
        <v xml:space="preserve"> ASSE 3-KG. </v>
      </c>
      <c r="BY31" s="108" t="str">
        <f>MID($CB31,SUMPRODUCT(LEN($BV31:BX31))+SUM($BK31:BM31)+1,IFERROR(FIND("#",$CB31,SUMPRODUCT(LEN($BV31:BX31))+SUM($BK31:BM31)+1),1000)-(SUMPRODUCT(LEN($BV31:BX31))+SUM($BK31:BM31)+1))</f>
        <v xml:space="preserve"> ; ASSE 4-KG. </v>
      </c>
      <c r="BZ31" s="108" t="str">
        <f>MID($CB31,SUMPRODUCT(LEN($BV31:BY31))+SUM($BK31:BN31)+1,IFERROR(FIND("#",$CB31,SUMPRODUCT(LEN($BV31:BY31))+SUM($BK31:BN31)+1),1000)-(SUMPRODUCT(LEN($BV31:BY31))+SUM($BK31:BN31)+1))</f>
        <v/>
      </c>
      <c r="CA31" s="108" t="str">
        <f>MID($CB31,SUMPRODUCT(LEN($BV31:BZ31))+SUM($BK31:BO31)+1,IFERROR(FIND("#",$CB31,SUMPRODUCT(LEN($BV31:BZ31))+SUM($BK31:BO31)+1),1000)-(SUMPRODUCT(LEN($BV31:BZ31))+SUM($BK31:BO31)+1))</f>
        <v/>
      </c>
      <c r="CB31" s="118" t="s">
        <v>407</v>
      </c>
      <c r="CC31" s="118" t="s">
        <v>407</v>
      </c>
      <c r="CD31" s="124"/>
    </row>
    <row r="32" spans="1:85" ht="75.75" customHeight="1" x14ac:dyDescent="0.25">
      <c r="A32" s="120"/>
      <c r="B32" s="120"/>
      <c r="C32" s="120"/>
      <c r="D32" s="120"/>
      <c r="E32" s="120"/>
      <c r="F32" s="165" t="s">
        <v>396</v>
      </c>
      <c r="G32" s="166" t="s">
        <v>264</v>
      </c>
      <c r="H32" s="164" t="s">
        <v>265</v>
      </c>
      <c r="I32" s="167" t="s">
        <v>397</v>
      </c>
      <c r="J32" s="169" t="str">
        <f t="shared" si="6"/>
        <v xml:space="preserve">ER - Macchina agricola operatrice trainata  eccezionale ranghinatore </v>
      </c>
      <c r="K32" s="120"/>
      <c r="L32" s="169" t="s">
        <v>410</v>
      </c>
      <c r="M32" s="169" t="s">
        <v>411</v>
      </c>
      <c r="N32" s="169">
        <f t="shared" si="0"/>
        <v>1</v>
      </c>
      <c r="O32" s="169" t="str">
        <f t="shared" si="7"/>
        <v xml:space="preserve">J - STERZATURA AMMESSA SU UN SOLO ASSE </v>
      </c>
      <c r="P32" s="120"/>
      <c r="Q32" s="173"/>
      <c r="R32" s="173"/>
      <c r="S32" s="173"/>
      <c r="T32" s="127"/>
      <c r="U32" s="61" t="s">
        <v>264</v>
      </c>
      <c r="V32" s="62" t="s">
        <v>399</v>
      </c>
      <c r="W32" s="73" t="str">
        <f t="shared" si="8"/>
        <v>T - MECC.COMANDO PNEUM</v>
      </c>
      <c r="X32" s="124"/>
      <c r="Y32" s="170" t="s">
        <v>283</v>
      </c>
      <c r="Z32" s="178" t="s">
        <v>413</v>
      </c>
      <c r="AA32" s="180" t="str">
        <f t="shared" si="3"/>
        <v xml:space="preserve">S - SCAVO </v>
      </c>
      <c r="AB32" s="124"/>
      <c r="AC32" s="172" t="s">
        <v>414</v>
      </c>
      <c r="AD32" s="169" t="s">
        <v>415</v>
      </c>
      <c r="AE32" s="169"/>
      <c r="AF32" s="180" t="str">
        <f t="shared" si="4"/>
        <v>FC - SPANDITRICE</v>
      </c>
      <c r="AG32" s="124"/>
      <c r="AH32" s="124"/>
      <c r="AI32" s="124"/>
      <c r="AJ32" s="124"/>
      <c r="AK32" s="124"/>
      <c r="AL32" s="120"/>
      <c r="AM32" s="120"/>
      <c r="AN32" s="120"/>
      <c r="AO32" s="120"/>
      <c r="AP32" s="120"/>
      <c r="AQ32" s="120"/>
      <c r="AR32" s="61" t="s">
        <v>403</v>
      </c>
      <c r="AS32" s="62" t="s">
        <v>404</v>
      </c>
      <c r="AT32" s="186"/>
      <c r="AU32" s="186"/>
      <c r="AV32" s="186"/>
      <c r="AW32" s="186"/>
      <c r="AX32" s="120"/>
      <c r="AY32" s="120"/>
      <c r="AZ32" s="120"/>
      <c r="BA32" s="120"/>
      <c r="BB32" s="120"/>
      <c r="BC32" s="120"/>
      <c r="BD32" s="120"/>
      <c r="BE32" s="120"/>
      <c r="BF32" s="120"/>
      <c r="BG32" s="414" t="s">
        <v>418</v>
      </c>
      <c r="BH32" s="417" t="s">
        <v>419</v>
      </c>
      <c r="BI32" s="132" t="str">
        <f t="shared" si="5"/>
        <v>=RIMO1=####=#######################=</v>
      </c>
      <c r="BJ32" s="133"/>
      <c r="BK32" s="134">
        <f>IFERROR(FIND("=",$BI32,FIND("=",$BI32,LEN($BG32))+SUM($BJ32:BJ32)+1+BK$23)-(FIND("=",$BI32,2)+SUM($BJ32:BJ32)+BK$23)-1,0)</f>
        <v>4</v>
      </c>
      <c r="BL32" s="134">
        <f>IFERROR(FIND("=",$BI32,FIND("=",$BI32,LEN($BG32))+SUM($BJ32:BK32)+1+BL$23)-(FIND("=",$BI32,2)+SUM($BJ32:BK32)+BL$23)-1,0)</f>
        <v>23</v>
      </c>
      <c r="BM32" s="134">
        <f>IFERROR(FIND("=",$BI32,FIND("=",$BI32,LEN($BG32))+SUM($BJ32:BL32)+1+BM$23)-(FIND("=",$BI32,2)+SUM($BJ32:BL32)+BM$23)-1,0)</f>
        <v>0</v>
      </c>
      <c r="BN32" s="134">
        <f>IFERROR(FIND("=",$BI32,FIND("=",$BI32,LEN($BG32))+SUM($BJ32:BM32)+1+BN$23)-(FIND("=",$BI32,2)+SUM($BJ32:BM32)+BN$23)-1,0)</f>
        <v>0</v>
      </c>
      <c r="BO32" s="134">
        <f>IFERROR(FIND("=",$BI32,FIND("=",$BI32,LEN($BG32))+SUM($BJ32:BN32)+1+BO$23)-(FIND("=",$BI32,2)+SUM($BJ32:BN32)+BO$23)-1,0)</f>
        <v>0</v>
      </c>
      <c r="BP32" s="135"/>
      <c r="BQ32" s="135"/>
      <c r="BR32" s="135"/>
      <c r="BS32" s="135"/>
      <c r="BT32" s="135"/>
      <c r="BU32" s="133"/>
      <c r="BV32" s="108" t="str">
        <f>MID($CB32,SUMPRODUCT(LEN($BU32:BU32))+SUM($BJ32:BJ32)+1,IFERROR(FIND("#",$CB32,SUMPRODUCT(LEN($BU32:BU32))+SUM($BJ32:BJ32)+1),1000)-(SUMPRODUCT(LEN($BU32:BU32))+SUM($BJ32:BJ32)+1))</f>
        <v xml:space="preserve">IL    RIMORCHIO   DEVE ESSERE   TRAINATO   DA   TRATTRICE    CON   PESO RIMORCHIABILE  NON   INFERIORE  AL  PESO COMPLESSIVO DEL RIMORCHIO CON MASSA VERTICALE SUL GANCIO NON INFERIORE ALLA MASSA TRASMESSA DALL’OCCHIONE. </v>
      </c>
      <c r="BW32" s="108" t="str">
        <f>MID($CB32,SUMPRODUCT(LEN($BU32:BV32))+SUM($BJ32:BK32)+1,IFERROR(FIND("#",$CB32,SUMPRODUCT(LEN($BU32:BV32))+SUM($BJ32:BK32)+1),1000)-(SUMPRODUCT(LEN($BU32:BV32))+SUM($BJ32:BK32)+1))</f>
        <v>-</v>
      </c>
      <c r="BX32" s="108" t="str">
        <f>MID($CB32,SUMPRODUCT(LEN($BV32:BW32))+SUM($BK32:BL32)+1,IFERROR(FIND("#",$CB32,SUMPRODUCT(LEN($BV32:BW32))+SUM($BK32:BL32)+1),1000)-(SUMPRODUCT(LEN($BV32:BW32))+SUM($BK32:BL32)+1))</f>
        <v xml:space="preserve"> [ANTEPRIMA NON AFFIDABILE]</v>
      </c>
      <c r="BY32" s="108" t="str">
        <f>MID($CB32,SUMPRODUCT(LEN($BV32:BX32))+SUM($BK32:BM32)+1,IFERROR(FIND("#",$CB32,SUMPRODUCT(LEN($BV32:BX32))+SUM($BK32:BM32)+1),1000)-(SUMPRODUCT(LEN($BV32:BX32))+SUM($BK32:BM32)+1))</f>
        <v/>
      </c>
      <c r="BZ32" s="108" t="str">
        <f>MID($CB32,SUMPRODUCT(LEN($BV32:BY32))+SUM($BK32:BN32)+1,IFERROR(FIND("#",$CB32,SUMPRODUCT(LEN($BV32:BY32))+SUM($BK32:BN32)+1),1000)-(SUMPRODUCT(LEN($BV32:BY32))+SUM($BK32:BN32)+1))</f>
        <v/>
      </c>
      <c r="CA32" s="108" t="str">
        <f>MID($CB32,SUMPRODUCT(LEN($BV32:BZ32))+SUM($BK32:BO32)+1,IFERROR(FIND("#",$CB32,SUMPRODUCT(LEN($BV32:BZ32))+SUM($BK32:BO32)+1),1000)-(SUMPRODUCT(LEN($BV32:BZ32))+SUM($BK32:BO32)+1))</f>
        <v/>
      </c>
      <c r="CB32" s="118" t="s">
        <v>866</v>
      </c>
      <c r="CC32" s="118" t="s">
        <v>865</v>
      </c>
      <c r="CD32" s="124"/>
    </row>
    <row r="33" spans="1:82" ht="76.5" customHeight="1" x14ac:dyDescent="0.25">
      <c r="A33" s="120"/>
      <c r="B33" s="120"/>
      <c r="C33" s="120"/>
      <c r="D33" s="120"/>
      <c r="E33" s="120"/>
      <c r="F33" s="165" t="s">
        <v>408</v>
      </c>
      <c r="G33" s="166" t="s">
        <v>264</v>
      </c>
      <c r="H33" s="164" t="s">
        <v>265</v>
      </c>
      <c r="I33" s="167" t="s">
        <v>409</v>
      </c>
      <c r="J33" s="169" t="str">
        <f t="shared" si="6"/>
        <v xml:space="preserve">ES - Macchina agricola operatrice trainata  eccezionale seminatrice </v>
      </c>
      <c r="K33" s="120"/>
      <c r="L33" s="169" t="s">
        <v>360</v>
      </c>
      <c r="M33" s="169" t="s">
        <v>422</v>
      </c>
      <c r="N33" s="169">
        <f t="shared" si="0"/>
        <v>2</v>
      </c>
      <c r="O33" s="169" t="str">
        <f t="shared" si="7"/>
        <v xml:space="preserve">L - PROIETTORI INCLINATI IN MODO CHE LA LUCE INCONTRI IL TERRENO DAVANTI ALLA MACCHINA NON OLTRE 10 METRI. </v>
      </c>
      <c r="P33" s="120"/>
      <c r="Q33" s="173"/>
      <c r="R33" s="173"/>
      <c r="S33" s="173"/>
      <c r="T33" s="127"/>
      <c r="U33" s="61" t="s">
        <v>410</v>
      </c>
      <c r="V33" s="62" t="s">
        <v>412</v>
      </c>
      <c r="W33" s="73" t="str">
        <f t="shared" si="8"/>
        <v>J - IDROSTATICO</v>
      </c>
      <c r="X33" s="124"/>
      <c r="Y33" s="170" t="s">
        <v>264</v>
      </c>
      <c r="Z33" s="178" t="s">
        <v>425</v>
      </c>
      <c r="AA33" s="180" t="str">
        <f>Y33&amp;" - "&amp;Z33</f>
        <v>T - TRASPORTO</v>
      </c>
      <c r="AB33" s="124"/>
      <c r="AC33" s="172" t="s">
        <v>426</v>
      </c>
      <c r="AD33" s="169" t="s">
        <v>427</v>
      </c>
      <c r="AE33" s="169"/>
      <c r="AF33" s="180" t="str">
        <f t="shared" si="4"/>
        <v>FD - SPANDILIVELLATRICE GRANIGLIE-CONGLOMERATI</v>
      </c>
      <c r="AG33" s="124"/>
      <c r="AH33" s="124"/>
      <c r="AI33" s="124"/>
      <c r="AJ33" s="124"/>
      <c r="AK33" s="124"/>
      <c r="AL33" s="120"/>
      <c r="AM33" s="120"/>
      <c r="AN33" s="120"/>
      <c r="AO33" s="120"/>
      <c r="AP33" s="120"/>
      <c r="AQ33" s="120"/>
      <c r="AR33" s="61" t="s">
        <v>416</v>
      </c>
      <c r="AS33" s="62" t="s">
        <v>417</v>
      </c>
      <c r="AT33" s="186"/>
      <c r="AU33" s="186"/>
      <c r="AV33" s="186"/>
      <c r="AW33" s="186"/>
      <c r="AX33" s="120"/>
      <c r="AY33" s="120"/>
      <c r="AZ33" s="120"/>
      <c r="BA33" s="120"/>
      <c r="BB33" s="120"/>
      <c r="BC33" s="120"/>
      <c r="BD33" s="120"/>
      <c r="BE33" s="120"/>
      <c r="BF33" s="120"/>
      <c r="BG33" s="414" t="s">
        <v>430</v>
      </c>
      <c r="BH33" s="417" t="s">
        <v>431</v>
      </c>
      <c r="BI33" s="132" t="str">
        <f t="shared" si="5"/>
        <v>=RIMO2=####=#######################=</v>
      </c>
      <c r="BJ33" s="133"/>
      <c r="BK33" s="134">
        <f>IFERROR(FIND("=",$BI33,FIND("=",$BI33,LEN($BG33))+SUM($BJ33:BJ33)+1+BK$23)-(FIND("=",$BI33,2)+SUM($BJ33:BJ33)+BK$23)-1,0)</f>
        <v>4</v>
      </c>
      <c r="BL33" s="134">
        <f>IFERROR(FIND("=",$BI33,FIND("=",$BI33,LEN($BG33))+SUM($BJ33:BK33)+1+BL$23)-(FIND("=",$BI33,2)+SUM($BJ33:BK33)+BL$23)-1,0)</f>
        <v>23</v>
      </c>
      <c r="BM33" s="134">
        <f>IFERROR(FIND("=",$BI33,FIND("=",$BI33,LEN($BG33))+SUM($BJ33:BL33)+1+BM$23)-(FIND("=",$BI33,2)+SUM($BJ33:BL33)+BM$23)-1,0)</f>
        <v>0</v>
      </c>
      <c r="BN33" s="134">
        <f>IFERROR(FIND("=",$BI33,FIND("=",$BI33,LEN($BG33))+SUM($BJ33:BM33)+1+BN$23)-(FIND("=",$BI33,2)+SUM($BJ33:BM33)+BN$23)-1,0)</f>
        <v>0</v>
      </c>
      <c r="BO33" s="134">
        <f>IFERROR(FIND("=",$BI33,FIND("=",$BI33,LEN($BG33))+SUM($BJ33:BN33)+1+BO$23)-(FIND("=",$BI33,2)+SUM($BJ33:BN33)+BO$23)-1,0)</f>
        <v>0</v>
      </c>
      <c r="BP33" s="135"/>
      <c r="BQ33" s="135"/>
      <c r="BR33" s="135"/>
      <c r="BS33" s="135"/>
      <c r="BT33" s="135"/>
      <c r="BU33" s="133"/>
      <c r="BV33" s="108" t="str">
        <f>MID($CB33,SUMPRODUCT(LEN($BU33:BU33))+SUM($BJ33:BJ33)+1,IFERROR(FIND("#",$CB33,SUMPRODUCT(LEN($BU33:BU33))+SUM($BJ33:BJ33)+1),1000)-(SUMPRODUCT(LEN($BU33:BU33))+SUM($BJ33:BJ33)+1))</f>
        <v xml:space="preserve">IL    RIMORCHIO   DEVE ESSERE   TRAINATO   DA   TRATTRICE    CON   PESO RIMORCHIABILE  NON   INFERIORE  AL  PESO COMPLESSIVO DEL RIMORCHIO CON MASSA VERTICALE SUL GANCIO NON INFERIORE ALLA MASSA TRASMESSA DALL’OCCHIONE. </v>
      </c>
      <c r="BW33" s="108" t="str">
        <f>MID($CB33,SUMPRODUCT(LEN($BU33:BV33))+SUM($BJ33:BK33)+1,IFERROR(FIND("#",$CB33,SUMPRODUCT(LEN($BU33:BV33))+SUM($BJ33:BK33)+1),1000)-(SUMPRODUCT(LEN($BU33:BV33))+SUM($BJ33:BK33)+1))</f>
        <v>-</v>
      </c>
      <c r="BX33" s="108" t="str">
        <f>MID($CB33,SUMPRODUCT(LEN($BV33:BW33))+SUM($BK33:BL33)+1,IFERROR(FIND("#",$CB33,SUMPRODUCT(LEN($BV33:BW33))+SUM($BK33:BL33)+1),1000)-(SUMPRODUCT(LEN($BV33:BW33))+SUM($BK33:BL33)+1))</f>
        <v xml:space="preserve"> [ANTEPRIMA NON AFFIDABILE]</v>
      </c>
      <c r="BY33" s="108" t="str">
        <f>MID($CB33,SUMPRODUCT(LEN($BV33:BX33))+SUM($BK33:BM33)+1,IFERROR(FIND("#",$CB33,SUMPRODUCT(LEN($BV33:BX33))+SUM($BK33:BM33)+1),1000)-(SUMPRODUCT(LEN($BV33:BX33))+SUM($BK33:BM33)+1))</f>
        <v/>
      </c>
      <c r="BZ33" s="108" t="str">
        <f>MID($CB33,SUMPRODUCT(LEN($BV33:BY33))+SUM($BK33:BN33)+1,IFERROR(FIND("#",$CB33,SUMPRODUCT(LEN($BV33:BY33))+SUM($BK33:BN33)+1),1000)-(SUMPRODUCT(LEN($BV33:BY33))+SUM($BK33:BN33)+1))</f>
        <v/>
      </c>
      <c r="CA33" s="108" t="str">
        <f>MID($CB33,SUMPRODUCT(LEN($BV33:BZ33))+SUM($BK33:BO33)+1,IFERROR(FIND("#",$CB33,SUMPRODUCT(LEN($BV33:BZ33))+SUM($BK33:BO33)+1),1000)-(SUMPRODUCT(LEN($BV33:BZ33))+SUM($BK33:BO33)+1))</f>
        <v/>
      </c>
      <c r="CB33" s="118" t="s">
        <v>866</v>
      </c>
      <c r="CC33" s="118" t="s">
        <v>865</v>
      </c>
      <c r="CD33" s="124"/>
    </row>
    <row r="34" spans="1:82" ht="61.5" customHeight="1" x14ac:dyDescent="0.25">
      <c r="A34" s="120"/>
      <c r="B34" s="120"/>
      <c r="C34" s="120"/>
      <c r="D34" s="120"/>
      <c r="E34" s="120"/>
      <c r="F34" s="165" t="s">
        <v>420</v>
      </c>
      <c r="G34" s="166" t="s">
        <v>264</v>
      </c>
      <c r="H34" s="164" t="s">
        <v>265</v>
      </c>
      <c r="I34" s="167" t="s">
        <v>421</v>
      </c>
      <c r="J34" s="169" t="str">
        <f t="shared" si="6"/>
        <v xml:space="preserve">ET - Macch. Agr. Operatrice trainata  eccezionale falcia-trincia-caricatrice </v>
      </c>
      <c r="K34" s="120"/>
      <c r="L34" s="169" t="s">
        <v>298</v>
      </c>
      <c r="M34" s="169" t="s">
        <v>434</v>
      </c>
      <c r="N34" s="169">
        <f t="shared" si="0"/>
        <v>1</v>
      </c>
      <c r="O34" s="169" t="str">
        <f t="shared" si="7"/>
        <v xml:space="preserve">M - PROIETTORI DA LAVORO OCCULTATI CON IDONEE MASCHERE. </v>
      </c>
      <c r="P34" s="120"/>
      <c r="Q34" s="173"/>
      <c r="R34" s="173"/>
      <c r="S34" s="173"/>
      <c r="T34" s="173"/>
      <c r="U34" s="61" t="s">
        <v>423</v>
      </c>
      <c r="V34" s="62" t="s">
        <v>424</v>
      </c>
      <c r="W34" s="73" t="str">
        <f t="shared" si="8"/>
        <v>N - SPROVVISTA DI DISPOSITIVI DI FRENATURA DI SERVIZIO</v>
      </c>
      <c r="X34" s="124"/>
      <c r="Y34" s="170" t="s">
        <v>435</v>
      </c>
      <c r="Z34" s="178" t="s">
        <v>436</v>
      </c>
      <c r="AA34" s="180" t="str">
        <f t="shared" si="3"/>
        <v xml:space="preserve">V - SOLLEVAMENTO-TRASPORTO </v>
      </c>
      <c r="AB34" s="124"/>
      <c r="AC34" s="172" t="s">
        <v>437</v>
      </c>
      <c r="AD34" s="169" t="s">
        <v>438</v>
      </c>
      <c r="AE34" s="169"/>
      <c r="AF34" s="180" t="str">
        <f t="shared" si="4"/>
        <v>FE - VIBRATRICE</v>
      </c>
      <c r="AG34" s="124"/>
      <c r="AH34" s="124"/>
      <c r="AI34" s="124"/>
      <c r="AJ34" s="124"/>
      <c r="AK34" s="124"/>
      <c r="AL34" s="120"/>
      <c r="AM34" s="120"/>
      <c r="AN34" s="120"/>
      <c r="AO34" s="120"/>
      <c r="AP34" s="120"/>
      <c r="AQ34" s="120"/>
      <c r="AR34" s="61" t="s">
        <v>428</v>
      </c>
      <c r="AS34" s="62" t="s">
        <v>429</v>
      </c>
      <c r="AT34" s="186"/>
      <c r="AU34" s="186"/>
      <c r="AV34" s="186"/>
      <c r="AW34" s="186"/>
      <c r="AX34" s="120"/>
      <c r="AY34" s="120"/>
      <c r="AZ34" s="120"/>
      <c r="BA34" s="120"/>
      <c r="BB34" s="120"/>
      <c r="BC34" s="120"/>
      <c r="BD34" s="120"/>
      <c r="BE34" s="120"/>
      <c r="BF34" s="120"/>
      <c r="BG34" s="73" t="s">
        <v>441</v>
      </c>
      <c r="BH34" s="132" t="s">
        <v>442</v>
      </c>
      <c r="BI34" s="132" t="str">
        <f t="shared" si="5"/>
        <v>=SOLL2=</v>
      </c>
      <c r="BJ34" s="133"/>
      <c r="BK34" s="134">
        <f>IFERROR(FIND("=",$BI34,FIND("=",$BI34,LEN($BG34))+SUM($BJ34:BJ34)+1+BK$23)-(FIND("=",$BI34,2)+SUM($BJ34:BJ34)+BK$23)-1,0)</f>
        <v>0</v>
      </c>
      <c r="BL34" s="134">
        <f>IFERROR(FIND("=",$BI34,FIND("=",$BI34,LEN($BG34))+SUM($BJ34:BK34)+1+BL$23)-(FIND("=",$BI34,2)+SUM($BJ34:BK34)+BL$23)-1,0)</f>
        <v>0</v>
      </c>
      <c r="BM34" s="134">
        <f>IFERROR(FIND("=",$BI34,FIND("=",$BI34,LEN($BG34))+SUM($BJ34:BL34)+1+BM$23)-(FIND("=",$BI34,2)+SUM($BJ34:BL34)+BM$23)-1,0)</f>
        <v>0</v>
      </c>
      <c r="BN34" s="134">
        <f>IFERROR(FIND("=",$BI34,FIND("=",$BI34,LEN($BG34))+SUM($BJ34:BM34)+1+BN$23)-(FIND("=",$BI34,2)+SUM($BJ34:BM34)+BN$23)-1,0)</f>
        <v>0</v>
      </c>
      <c r="BO34" s="134">
        <f>IFERROR(FIND("=",$BI34,FIND("=",$BI34,LEN($BG34))+SUM($BJ34:BN34)+1+BO$23)-(FIND("=",$BI34,2)+SUM($BJ34:BN34)+BO$23)-1,0)</f>
        <v>0</v>
      </c>
      <c r="BP34" s="135"/>
      <c r="BQ34" s="135"/>
      <c r="BR34" s="135"/>
      <c r="BS34" s="135"/>
      <c r="BT34" s="135"/>
      <c r="BU34" s="133"/>
      <c r="BV34" s="108" t="str">
        <f>MID($CB34,SUMPRODUCT(LEN($BU34:BU34))+SUM($BJ34:BJ34)+1,IFERROR(FIND("#",$CB34,SUMPRODUCT(LEN($BU34:BU34))+SUM($BJ34:BJ34)+1),1000)-(SUMPRODUCT(LEN($BU34:BU34))+SUM($BJ34:BJ34)+1))</f>
        <v>AUTOVEICOLO MUNITO DI DISPOSITIVO PER SOLLEVAMENTO DEL SECONDO ASSE. L`USO DEL DISPOSITIVO E`AMMESSO SOLO PER L`AVVIAMENTO DEL VEICOLO NELLA MARCIA FUORI STRADA.</v>
      </c>
      <c r="BW34" s="108" t="str">
        <f>MID($CB34,SUMPRODUCT(LEN($BU34:BV34))+SUM($BJ34:BK34)+1,IFERROR(FIND("#",$CB34,SUMPRODUCT(LEN($BU34:BV34))+SUM($BJ34:BK34)+1),1000)-(SUMPRODUCT(LEN($BU34:BV34))+SUM($BJ34:BK34)+1))</f>
        <v/>
      </c>
      <c r="BX34" s="108" t="str">
        <f>MID($CB34,SUMPRODUCT(LEN($BV34:BW34))+SUM($BK34:BL34)+1,IFERROR(FIND("#",$CB34,SUMPRODUCT(LEN($BV34:BW34))+SUM($BK34:BL34)+1),1000)-(SUMPRODUCT(LEN($BV34:BW34))+SUM($BK34:BL34)+1))</f>
        <v/>
      </c>
      <c r="BY34" s="108" t="str">
        <f>MID($CB34,SUMPRODUCT(LEN($BV34:BX34))+SUM($BK34:BM34)+1,IFERROR(FIND("#",$CB34,SUMPRODUCT(LEN($BV34:BX34))+SUM($BK34:BM34)+1),1000)-(SUMPRODUCT(LEN($BV34:BX34))+SUM($BK34:BM34)+1))</f>
        <v/>
      </c>
      <c r="BZ34" s="108" t="str">
        <f>MID($CB34,SUMPRODUCT(LEN($BV34:BY34))+SUM($BK34:BN34)+1,IFERROR(FIND("#",$CB34,SUMPRODUCT(LEN($BV34:BY34))+SUM($BK34:BN34)+1),1000)-(SUMPRODUCT(LEN($BV34:BY34))+SUM($BK34:BN34)+1))</f>
        <v/>
      </c>
      <c r="CA34" s="108" t="str">
        <f>MID($CB34,SUMPRODUCT(LEN($BV34:BZ34))+SUM($BK34:BO34)+1,IFERROR(FIND("#",$CB34,SUMPRODUCT(LEN($BV34:BZ34))+SUM($BK34:BO34)+1),1000)-(SUMPRODUCT(LEN($BV34:BZ34))+SUM($BK34:BO34)+1))</f>
        <v/>
      </c>
      <c r="CB34" s="118" t="s">
        <v>443</v>
      </c>
      <c r="CC34" s="118" t="s">
        <v>443</v>
      </c>
      <c r="CD34" s="124"/>
    </row>
    <row r="35" spans="1:82" ht="61.5" customHeight="1" x14ac:dyDescent="0.25">
      <c r="A35" s="120"/>
      <c r="B35" s="120"/>
      <c r="C35" s="120"/>
      <c r="D35" s="120"/>
      <c r="E35" s="120"/>
      <c r="F35" s="165" t="s">
        <v>432</v>
      </c>
      <c r="G35" s="166" t="s">
        <v>264</v>
      </c>
      <c r="H35" s="164" t="s">
        <v>265</v>
      </c>
      <c r="I35" s="167" t="s">
        <v>433</v>
      </c>
      <c r="J35" s="169" t="str">
        <f t="shared" si="6"/>
        <v xml:space="preserve">EV - Macch. Agr. Oper. Trainata eccedente i  limiti art. 61 e/o 104 </v>
      </c>
      <c r="K35" s="120"/>
      <c r="L35" s="169" t="s">
        <v>423</v>
      </c>
      <c r="M35" s="169" t="s">
        <v>446</v>
      </c>
      <c r="N35" s="169">
        <f t="shared" si="0"/>
        <v>1</v>
      </c>
      <c r="O35" s="169" t="str">
        <f t="shared" si="7"/>
        <v xml:space="preserve">N - ECCEZIONALE </v>
      </c>
      <c r="P35" s="120"/>
      <c r="Q35" s="173"/>
      <c r="R35" s="173"/>
      <c r="S35" s="173"/>
      <c r="T35" s="173"/>
      <c r="U35" s="173"/>
      <c r="V35" s="173"/>
      <c r="W35" s="173"/>
      <c r="X35" s="124"/>
      <c r="Y35" s="170" t="s">
        <v>447</v>
      </c>
      <c r="Z35" s="178" t="s">
        <v>448</v>
      </c>
      <c r="AA35" s="180" t="str">
        <f t="shared" si="3"/>
        <v xml:space="preserve">X - SCAVO-TRASPORTO-CARICAMENTO </v>
      </c>
      <c r="AB35" s="124"/>
      <c r="AC35" s="172" t="s">
        <v>449</v>
      </c>
      <c r="AD35" s="169" t="s">
        <v>450</v>
      </c>
      <c r="AE35" s="169"/>
      <c r="AF35" s="180" t="str">
        <f t="shared" si="4"/>
        <v>FG - BETONIERA</v>
      </c>
      <c r="AG35" s="124"/>
      <c r="AH35" s="124"/>
      <c r="AI35" s="124"/>
      <c r="AJ35" s="124"/>
      <c r="AK35" s="124"/>
      <c r="AL35" s="120"/>
      <c r="AM35" s="120"/>
      <c r="AN35" s="120"/>
      <c r="AO35" s="120"/>
      <c r="AP35" s="120"/>
      <c r="AQ35" s="120"/>
      <c r="AR35" s="61" t="s">
        <v>439</v>
      </c>
      <c r="AS35" s="62" t="s">
        <v>440</v>
      </c>
      <c r="AT35" s="186"/>
      <c r="AU35" s="186"/>
      <c r="AV35" s="186"/>
      <c r="AW35" s="186"/>
      <c r="AX35" s="120"/>
      <c r="AY35" s="120"/>
      <c r="AZ35" s="120"/>
      <c r="BA35" s="120"/>
      <c r="BB35" s="120"/>
      <c r="BC35" s="120"/>
      <c r="BD35" s="120"/>
      <c r="BE35" s="120"/>
      <c r="BF35" s="120"/>
      <c r="BG35" s="73" t="s">
        <v>453</v>
      </c>
      <c r="BH35" s="132" t="s">
        <v>454</v>
      </c>
      <c r="BI35" s="132" t="str">
        <f t="shared" si="5"/>
        <v>=SOLL3=</v>
      </c>
      <c r="BJ35" s="133"/>
      <c r="BK35" s="134">
        <f>IFERROR(FIND("=",$BI35,FIND("=",$BI35,LEN($BG35))+SUM($BJ35:BJ35)+1+BK$23)-(FIND("=",$BI35,2)+SUM($BJ35:BJ35)+BK$23)-1,0)</f>
        <v>0</v>
      </c>
      <c r="BL35" s="134">
        <f>IFERROR(FIND("=",$BI35,FIND("=",$BI35,LEN($BG35))+SUM($BJ35:BK35)+1+BL$23)-(FIND("=",$BI35,2)+SUM($BJ35:BK35)+BL$23)-1,0)</f>
        <v>0</v>
      </c>
      <c r="BM35" s="134">
        <f>IFERROR(FIND("=",$BI35,FIND("=",$BI35,LEN($BG35))+SUM($BJ35:BL35)+1+BM$23)-(FIND("=",$BI35,2)+SUM($BJ35:BL35)+BM$23)-1,0)</f>
        <v>0</v>
      </c>
      <c r="BN35" s="134">
        <f>IFERROR(FIND("=",$BI35,FIND("=",$BI35,LEN($BG35))+SUM($BJ35:BM35)+1+BN$23)-(FIND("=",$BI35,2)+SUM($BJ35:BM35)+BN$23)-1,0)</f>
        <v>0</v>
      </c>
      <c r="BO35" s="134">
        <f>IFERROR(FIND("=",$BI35,FIND("=",$BI35,LEN($BG35))+SUM($BJ35:BN35)+1+BO$23)-(FIND("=",$BI35,2)+SUM($BJ35:BN35)+BO$23)-1,0)</f>
        <v>0</v>
      </c>
      <c r="BP35" s="135"/>
      <c r="BQ35" s="135"/>
      <c r="BR35" s="135"/>
      <c r="BS35" s="135"/>
      <c r="BT35" s="135"/>
      <c r="BU35" s="133"/>
      <c r="BV35" s="108" t="str">
        <f>MID($CB35,SUMPRODUCT(LEN($BU35:BU35))+SUM($BJ35:BJ35)+1,IFERROR(FIND("#",$CB35,SUMPRODUCT(LEN($BU35:BU35))+SUM($BJ35:BJ35)+1),1000)-(SUMPRODUCT(LEN($BU35:BU35))+SUM($BJ35:BJ35)+1))</f>
        <v>AUTOVEICOLO MUNITO DI DISPOSITIVO PER SOLLEVAMENTO DEL TERZO ASSE. L`USO DEL DISPOSITIVO E`AMMESSO SOLO PER L`AVVIAMENTO DEL VEICOLO NELLA MARCIA FUORI STRADA.</v>
      </c>
      <c r="BW35" s="108" t="str">
        <f>MID($CB35,SUMPRODUCT(LEN($BU35:BV35))+SUM($BJ35:BK35)+1,IFERROR(FIND("#",$CB35,SUMPRODUCT(LEN($BU35:BV35))+SUM($BJ35:BK35)+1),1000)-(SUMPRODUCT(LEN($BU35:BV35))+SUM($BJ35:BK35)+1))</f>
        <v/>
      </c>
      <c r="BX35" s="108" t="str">
        <f>MID($CB35,SUMPRODUCT(LEN($BV35:BW35))+SUM($BK35:BL35)+1,IFERROR(FIND("#",$CB35,SUMPRODUCT(LEN($BV35:BW35))+SUM($BK35:BL35)+1),1000)-(SUMPRODUCT(LEN($BV35:BW35))+SUM($BK35:BL35)+1))</f>
        <v/>
      </c>
      <c r="BY35" s="108" t="str">
        <f>MID($CB35,SUMPRODUCT(LEN($BV35:BX35))+SUM($BK35:BM35)+1,IFERROR(FIND("#",$CB35,SUMPRODUCT(LEN($BV35:BX35))+SUM($BK35:BM35)+1),1000)-(SUMPRODUCT(LEN($BV35:BX35))+SUM($BK35:BM35)+1))</f>
        <v/>
      </c>
      <c r="BZ35" s="108" t="str">
        <f>MID($CB35,SUMPRODUCT(LEN($BV35:BY35))+SUM($BK35:BN35)+1,IFERROR(FIND("#",$CB35,SUMPRODUCT(LEN($BV35:BY35))+SUM($BK35:BN35)+1),1000)-(SUMPRODUCT(LEN($BV35:BY35))+SUM($BK35:BN35)+1))</f>
        <v/>
      </c>
      <c r="CA35" s="108" t="str">
        <f>MID($CB35,SUMPRODUCT(LEN($BV35:BZ35))+SUM($BK35:BO35)+1,IFERROR(FIND("#",$CB35,SUMPRODUCT(LEN($BV35:BZ35))+SUM($BK35:BO35)+1),1000)-(SUMPRODUCT(LEN($BV35:BZ35))+SUM($BK35:BO35)+1))</f>
        <v/>
      </c>
      <c r="CB35" s="118" t="s">
        <v>455</v>
      </c>
      <c r="CC35" s="118" t="s">
        <v>455</v>
      </c>
      <c r="CD35" s="124"/>
    </row>
    <row r="36" spans="1:82" ht="106.5" customHeight="1" x14ac:dyDescent="0.25">
      <c r="A36" s="120"/>
      <c r="B36" s="120"/>
      <c r="C36" s="120"/>
      <c r="D36" s="120"/>
      <c r="E36" s="120"/>
      <c r="F36" s="165" t="s">
        <v>444</v>
      </c>
      <c r="G36" s="166" t="s">
        <v>283</v>
      </c>
      <c r="H36" s="164" t="s">
        <v>265</v>
      </c>
      <c r="I36" s="167" t="s">
        <v>445</v>
      </c>
      <c r="J36" s="169" t="str">
        <f t="shared" si="6"/>
        <v xml:space="preserve">EW - Macch. Agr. Oper. Semovente a 1 asse  eccedente i limiti art. 61 e/o 104 </v>
      </c>
      <c r="K36" s="120"/>
      <c r="L36" s="169" t="s">
        <v>458</v>
      </c>
      <c r="M36" s="419" t="s">
        <v>459</v>
      </c>
      <c r="N36" s="169">
        <f t="shared" si="0"/>
        <v>7</v>
      </c>
      <c r="O36" s="419" t="str">
        <f t="shared" si="7"/>
        <v xml:space="preserve">O - INGOMBRI DEGLI ATTREZZI CHE ECCEDONO LA PROIEZIONE INPIANTA DELLE RUOTE DEL VEICOLO DI OLTRE IL 75% DEL   PASSO, SEGNALATI, SIA LUNGO L'ASSE LONG. CHE TRASV., CON VERNICI, MATERIALI AUTOADESIVI O CON APPOSITI    PANNELLI FISSABILI ALL'INGOMBRO, TUTTI RIFLETTENTI, ASTRISCE LARGHE 10 CM. E INCLINATE A 35 GRADI, ALTERNATE DI COLORE BIANCO E ROSSO. </v>
      </c>
      <c r="P36" s="120"/>
      <c r="Q36" s="173"/>
      <c r="R36" s="173"/>
      <c r="S36" s="173"/>
      <c r="T36" s="173"/>
      <c r="U36" s="173"/>
      <c r="V36" s="173"/>
      <c r="W36" s="173"/>
      <c r="X36" s="124"/>
      <c r="Y36" s="170" t="s">
        <v>460</v>
      </c>
      <c r="Z36" s="178" t="s">
        <v>461</v>
      </c>
      <c r="AA36" s="180" t="str">
        <f t="shared" si="3"/>
        <v xml:space="preserve">Z - CARICAMENTO </v>
      </c>
      <c r="AB36" s="124"/>
      <c r="AC36" s="172" t="s">
        <v>462</v>
      </c>
      <c r="AD36" s="169" t="s">
        <v>463</v>
      </c>
      <c r="AE36" s="169"/>
      <c r="AF36" s="180" t="str">
        <f t="shared" si="4"/>
        <v>FH - BETONIERA AUTOCARICANTE</v>
      </c>
      <c r="AG36" s="124"/>
      <c r="AH36" s="124"/>
      <c r="AI36" s="124"/>
      <c r="AJ36" s="124"/>
      <c r="AK36" s="124"/>
      <c r="AL36" s="120"/>
      <c r="AM36" s="120"/>
      <c r="AN36" s="120"/>
      <c r="AO36" s="120"/>
      <c r="AP36" s="120"/>
      <c r="AQ36" s="120"/>
      <c r="AR36" s="61" t="s">
        <v>451</v>
      </c>
      <c r="AS36" s="62" t="s">
        <v>452</v>
      </c>
      <c r="AT36" s="186"/>
      <c r="AU36" s="186"/>
      <c r="AV36" s="186"/>
      <c r="AW36" s="186"/>
      <c r="AX36" s="120"/>
      <c r="AY36" s="120"/>
      <c r="AZ36" s="120"/>
      <c r="BA36" s="120"/>
      <c r="BB36" s="120"/>
      <c r="BC36" s="120"/>
      <c r="BD36" s="120"/>
      <c r="BE36" s="120"/>
      <c r="BF36" s="120"/>
      <c r="BG36" s="112" t="s">
        <v>466</v>
      </c>
      <c r="BH36" s="132" t="s">
        <v>467</v>
      </c>
      <c r="BI36" s="132" t="str">
        <f t="shared" si="5"/>
        <v>=SOSPE=1=</v>
      </c>
      <c r="BJ36" s="133"/>
      <c r="BK36" s="136">
        <v>1</v>
      </c>
      <c r="BL36" s="134">
        <f>IFERROR(FIND("=",$BI36,FIND("=",$BI36,LEN($BG36))+SUM($BJ36:BK36)+1+BL$23)-(FIND("=",$BI36,2)+SUM($BJ36:BK36)+BL$23)-1,0)</f>
        <v>0</v>
      </c>
      <c r="BM36" s="134">
        <f>IFERROR(FIND("=",$BI36,FIND("=",$BI36,LEN($BG36))+SUM($BJ36:BL36)+1+BM$23)-(FIND("=",$BI36,2)+SUM($BJ36:BL36)+BM$23)-1,0)</f>
        <v>0</v>
      </c>
      <c r="BN36" s="134">
        <f>IFERROR(FIND("=",$BI36,FIND("=",$BI36,LEN($BG36))+SUM($BJ36:BM36)+1+BN$23)-(FIND("=",$BI36,2)+SUM($BJ36:BM36)+BN$23)-1,0)</f>
        <v>0</v>
      </c>
      <c r="BO36" s="134">
        <f>IFERROR(FIND("=",$BI36,FIND("=",$BI36,LEN($BG36))+SUM($BJ36:BN36)+1+BO$23)-(FIND("=",$BI36,2)+SUM($BJ36:BN36)+BO$23)-1,0)</f>
        <v>0</v>
      </c>
      <c r="BP36" s="135"/>
      <c r="BQ36" s="135"/>
      <c r="BR36" s="135"/>
      <c r="BS36" s="135"/>
      <c r="BT36" s="135"/>
      <c r="BU36" s="133"/>
      <c r="BV36" s="108" t="str">
        <f>MID($CB36,SUMPRODUCT(LEN($BU36:BU36))+SUM($BJ36:BJ36)+1,IFERROR(FIND("#",$CB36,SUMPRODUCT(LEN($BU36:BU36))+SUM($BJ36:BJ36)+1),1000)-(SUMPRODUCT(LEN($BU36:BU36))+SUM($BJ36:BJ36)+1))</f>
        <v>SOSP.ASSE/I MOTORE/I-PNEUMATICA</v>
      </c>
      <c r="BW36" s="108" t="str">
        <f>MID($CB36,SUMPRODUCT(LEN($BU36:BV36))+SUM($BJ36:BK36)+1,IFERROR(FIND("#",$CB36,SUMPRODUCT(LEN($BU36:BV36))+SUM($BJ36:BK36)+1),1000)-(SUMPRODUCT(LEN($BU36:BV36))+SUM($BJ36:BK36)+1))</f>
        <v/>
      </c>
      <c r="BX36" s="108" t="str">
        <f>MID($CB36,SUMPRODUCT(LEN($BV36:BW36))+SUM($BK36:BL36)+1,IFERROR(FIND("#",$CB36,SUMPRODUCT(LEN($BV36:BW36))+SUM($BK36:BL36)+1),1000)-(SUMPRODUCT(LEN($BV36:BW36))+SUM($BK36:BL36)+1))</f>
        <v/>
      </c>
      <c r="BY36" s="108" t="str">
        <f>MID($CB36,SUMPRODUCT(LEN($BV36:BX36))+SUM($BK36:BM36)+1,IFERROR(FIND("#",$CB36,SUMPRODUCT(LEN($BV36:BX36))+SUM($BK36:BM36)+1),1000)-(SUMPRODUCT(LEN($BV36:BX36))+SUM($BK36:BM36)+1))</f>
        <v/>
      </c>
      <c r="BZ36" s="108" t="str">
        <f>MID($CB36,SUMPRODUCT(LEN($BV36:BY36))+SUM($BK36:BN36)+1,IFERROR(FIND("#",$CB36,SUMPRODUCT(LEN($BV36:BY36))+SUM($BK36:BN36)+1),1000)-(SUMPRODUCT(LEN($BV36:BY36))+SUM($BK36:BN36)+1))</f>
        <v/>
      </c>
      <c r="CA36" s="108" t="str">
        <f>MID($CB36,SUMPRODUCT(LEN($BV36:BZ36))+SUM($BK36:BO36)+1,IFERROR(FIND("#",$CB36,SUMPRODUCT(LEN($BV36:BZ36))+SUM($BK36:BO36)+1),1000)-(SUMPRODUCT(LEN($BV36:BZ36))+SUM($BK36:BO36)+1))</f>
        <v/>
      </c>
      <c r="CB36" s="118" t="s">
        <v>468</v>
      </c>
      <c r="CC36" s="118" t="s">
        <v>468</v>
      </c>
      <c r="CD36" s="124"/>
    </row>
    <row r="37" spans="1:82" ht="61.5" customHeight="1" x14ac:dyDescent="0.25">
      <c r="A37" s="120"/>
      <c r="B37" s="120"/>
      <c r="C37" s="120"/>
      <c r="D37" s="120"/>
      <c r="E37" s="120"/>
      <c r="F37" s="165" t="s">
        <v>456</v>
      </c>
      <c r="G37" s="166" t="s">
        <v>264</v>
      </c>
      <c r="H37" s="164" t="s">
        <v>265</v>
      </c>
      <c r="I37" s="167" t="s">
        <v>457</v>
      </c>
      <c r="J37" s="169" t="str">
        <f t="shared" si="6"/>
        <v xml:space="preserve">EZ - Macchina agricola operatrice trainata  eccezionale zappatrice </v>
      </c>
      <c r="K37" s="120"/>
      <c r="L37" s="169" t="s">
        <v>271</v>
      </c>
      <c r="M37" s="169" t="s">
        <v>471</v>
      </c>
      <c r="N37" s="169">
        <f t="shared" si="0"/>
        <v>2</v>
      </c>
      <c r="O37" s="169" t="str">
        <f t="shared" si="7"/>
        <v xml:space="preserve">P - PEDALE FRENO DI LAVORO,POSTO A SINISTRA,MUNITO DI    BLOCCO MECCANICO CHE IMPEDISCE IL FUNZIONAMENTO. </v>
      </c>
      <c r="P37" s="120"/>
      <c r="Q37" s="173"/>
      <c r="R37" s="173"/>
      <c r="S37" s="173"/>
      <c r="T37" s="173"/>
      <c r="U37" s="173"/>
      <c r="V37" s="173"/>
      <c r="W37" s="173"/>
      <c r="X37" s="124"/>
      <c r="Y37" s="124"/>
      <c r="Z37" s="124"/>
      <c r="AA37" s="124"/>
      <c r="AB37" s="124"/>
      <c r="AC37" s="172" t="s">
        <v>472</v>
      </c>
      <c r="AD37" s="169" t="s">
        <v>473</v>
      </c>
      <c r="AE37" s="169"/>
      <c r="AF37" s="180" t="str">
        <f t="shared" si="4"/>
        <v>FI - IMPASTATRICE</v>
      </c>
      <c r="AG37" s="124"/>
      <c r="AH37" s="124"/>
      <c r="AI37" s="124"/>
      <c r="AJ37" s="124"/>
      <c r="AK37" s="124"/>
      <c r="AL37" s="120"/>
      <c r="AM37" s="120"/>
      <c r="AN37" s="120"/>
      <c r="AO37" s="120"/>
      <c r="AP37" s="120"/>
      <c r="AQ37" s="120"/>
      <c r="AR37" s="61" t="s">
        <v>464</v>
      </c>
      <c r="AS37" s="62" t="s">
        <v>465</v>
      </c>
      <c r="AT37" s="186"/>
      <c r="AU37" s="186"/>
      <c r="AV37" s="186"/>
      <c r="AW37" s="186"/>
      <c r="AX37" s="120"/>
      <c r="AY37" s="120"/>
      <c r="AZ37" s="120"/>
      <c r="BA37" s="120"/>
      <c r="BB37" s="120"/>
      <c r="BC37" s="120"/>
      <c r="BD37" s="120"/>
      <c r="BE37" s="120"/>
      <c r="BF37" s="120"/>
      <c r="BG37" s="73" t="s">
        <v>476</v>
      </c>
      <c r="BH37" s="132" t="s">
        <v>477</v>
      </c>
      <c r="BI37" s="132" t="str">
        <f t="shared" si="5"/>
        <v>=SOSPE=2=</v>
      </c>
      <c r="BJ37" s="133"/>
      <c r="BK37" s="136">
        <v>1</v>
      </c>
      <c r="BL37" s="134">
        <f>IFERROR(FIND("=",$BI37,FIND("=",$BI37,LEN($BG37))+SUM($BJ37:BK37)+1+BL$23)-(FIND("=",$BI37,2)+SUM($BJ37:BK37)+BL$23)-1,0)</f>
        <v>0</v>
      </c>
      <c r="BM37" s="134">
        <f>IFERROR(FIND("=",$BI37,FIND("=",$BI37,LEN($BG37))+SUM($BJ37:BL37)+1+BM$23)-(FIND("=",$BI37,2)+SUM($BJ37:BL37)+BM$23)-1,0)</f>
        <v>0</v>
      </c>
      <c r="BN37" s="134">
        <f>IFERROR(FIND("=",$BI37,FIND("=",$BI37,LEN($BG37))+SUM($BJ37:BM37)+1+BN$23)-(FIND("=",$BI37,2)+SUM($BJ37:BM37)+BN$23)-1,0)</f>
        <v>0</v>
      </c>
      <c r="BO37" s="134">
        <f>IFERROR(FIND("=",$BI37,FIND("=",$BI37,LEN($BG37))+SUM($BJ37:BN37)+1+BO$23)-(FIND("=",$BI37,2)+SUM($BJ37:BN37)+BO$23)-1,0)</f>
        <v>0</v>
      </c>
      <c r="BP37" s="135"/>
      <c r="BQ37" s="135"/>
      <c r="BR37" s="135"/>
      <c r="BS37" s="135"/>
      <c r="BT37" s="135"/>
      <c r="BU37" s="133"/>
      <c r="BV37" s="108" t="str">
        <f>MID($CB37,SUMPRODUCT(LEN($BU37:BU37))+SUM($BJ37:BJ37)+1,IFERROR(FIND("#",$CB37,SUMPRODUCT(LEN($BU37:BU37))+SUM($BJ37:BJ37)+1),1000)-(SUMPRODUCT(LEN($BU37:BU37))+SUM($BJ37:BJ37)+1))</f>
        <v>SOSP.ASSE/I MOTORE/I-EQUI.(ART62CDS)</v>
      </c>
      <c r="BW37" s="108" t="str">
        <f>MID($CB37,SUMPRODUCT(LEN($BU37:BV37))+SUM($BJ37:BK37)+1,IFERROR(FIND("#",$CB37,SUMPRODUCT(LEN($BU37:BV37))+SUM($BJ37:BK37)+1),1000)-(SUMPRODUCT(LEN($BU37:BV37))+SUM($BJ37:BK37)+1))</f>
        <v/>
      </c>
      <c r="BX37" s="108" t="str">
        <f>MID($CB37,SUMPRODUCT(LEN($BV37:BW37))+SUM($BK37:BL37)+1,IFERROR(FIND("#",$CB37,SUMPRODUCT(LEN($BV37:BW37))+SUM($BK37:BL37)+1),1000)-(SUMPRODUCT(LEN($BV37:BW37))+SUM($BK37:BL37)+1))</f>
        <v/>
      </c>
      <c r="BY37" s="108" t="str">
        <f>MID($CB37,SUMPRODUCT(LEN($BV37:BX37))+SUM($BK37:BM37)+1,IFERROR(FIND("#",$CB37,SUMPRODUCT(LEN($BV37:BX37))+SUM($BK37:BM37)+1),1000)-(SUMPRODUCT(LEN($BV37:BX37))+SUM($BK37:BM37)+1))</f>
        <v/>
      </c>
      <c r="BZ37" s="108" t="str">
        <f>MID($CB37,SUMPRODUCT(LEN($BV37:BY37))+SUM($BK37:BN37)+1,IFERROR(FIND("#",$CB37,SUMPRODUCT(LEN($BV37:BY37))+SUM($BK37:BN37)+1),1000)-(SUMPRODUCT(LEN($BV37:BY37))+SUM($BK37:BN37)+1))</f>
        <v/>
      </c>
      <c r="CA37" s="108" t="str">
        <f>MID($CB37,SUMPRODUCT(LEN($BV37:BZ37))+SUM($BK37:BO37)+1,IFERROR(FIND("#",$CB37,SUMPRODUCT(LEN($BV37:BZ37))+SUM($BK37:BO37)+1),1000)-(SUMPRODUCT(LEN($BV37:BZ37))+SUM($BK37:BO37)+1))</f>
        <v/>
      </c>
      <c r="CB37" s="118" t="s">
        <v>478</v>
      </c>
      <c r="CC37" s="118" t="s">
        <v>478</v>
      </c>
      <c r="CD37" s="124"/>
    </row>
    <row r="38" spans="1:82" ht="61.5" customHeight="1" x14ac:dyDescent="0.25">
      <c r="A38" s="120"/>
      <c r="B38" s="120"/>
      <c r="C38" s="120"/>
      <c r="D38" s="120"/>
      <c r="E38" s="120"/>
      <c r="F38" s="165" t="s">
        <v>469</v>
      </c>
      <c r="G38" s="166" t="s">
        <v>264</v>
      </c>
      <c r="H38" s="164" t="s">
        <v>360</v>
      </c>
      <c r="I38" s="167" t="s">
        <v>470</v>
      </c>
      <c r="J38" s="169" t="str">
        <f t="shared" si="6"/>
        <v xml:space="preserve">XA - Macchina agricola operatrice trainata  atomizzatore </v>
      </c>
      <c r="K38" s="120"/>
      <c r="L38" s="169" t="s">
        <v>481</v>
      </c>
      <c r="M38" s="169" t="s">
        <v>482</v>
      </c>
      <c r="N38" s="169">
        <f t="shared" si="0"/>
        <v>1</v>
      </c>
      <c r="O38" s="169" t="str">
        <f t="shared" si="7"/>
        <v xml:space="preserve">Q - OBBLIGO DI EQUIPAGGIAMENTO CON SPECCHIO ANTEVISORE </v>
      </c>
      <c r="P38" s="120"/>
      <c r="Q38" s="173"/>
      <c r="R38" s="173"/>
      <c r="S38" s="173"/>
      <c r="T38" s="173"/>
      <c r="U38" s="173"/>
      <c r="V38" s="173"/>
      <c r="W38" s="173"/>
      <c r="X38" s="124"/>
      <c r="Y38" s="124"/>
      <c r="Z38" s="124"/>
      <c r="AA38" s="124"/>
      <c r="AB38" s="124"/>
      <c r="AC38" s="172" t="s">
        <v>483</v>
      </c>
      <c r="AD38" s="169" t="s">
        <v>484</v>
      </c>
      <c r="AE38" s="169"/>
      <c r="AF38" s="180" t="str">
        <f t="shared" si="4"/>
        <v>FL - VAGLIATRICE</v>
      </c>
      <c r="AG38" s="124"/>
      <c r="AH38" s="124"/>
      <c r="AI38" s="124"/>
      <c r="AJ38" s="124"/>
      <c r="AK38" s="124"/>
      <c r="AL38" s="120"/>
      <c r="AM38" s="120"/>
      <c r="AN38" s="120"/>
      <c r="AO38" s="120"/>
      <c r="AP38" s="120"/>
      <c r="AQ38" s="120"/>
      <c r="AR38" s="61" t="s">
        <v>474</v>
      </c>
      <c r="AS38" s="62" t="s">
        <v>475</v>
      </c>
      <c r="AT38" s="186"/>
      <c r="AU38" s="186"/>
      <c r="AV38" s="186"/>
      <c r="AW38" s="186"/>
      <c r="AX38" s="120"/>
      <c r="AY38" s="120"/>
      <c r="AZ38" s="120"/>
      <c r="BA38" s="120"/>
      <c r="BB38" s="120"/>
      <c r="BC38" s="120"/>
      <c r="BD38" s="120"/>
      <c r="BE38" s="120"/>
      <c r="BF38" s="120"/>
      <c r="BG38" s="73" t="s">
        <v>487</v>
      </c>
      <c r="BH38" s="132" t="s">
        <v>488</v>
      </c>
      <c r="BI38" s="132" t="str">
        <f t="shared" si="5"/>
        <v>=SOSPE=3=</v>
      </c>
      <c r="BJ38" s="133"/>
      <c r="BK38" s="136">
        <v>1</v>
      </c>
      <c r="BL38" s="134">
        <f>IFERROR(FIND("=",$BI38,FIND("=",$BI38,LEN($BG38))+SUM($BJ38:BK38)+1+BL$23)-(FIND("=",$BI38,2)+SUM($BJ38:BK38)+BL$23)-1,0)</f>
        <v>0</v>
      </c>
      <c r="BM38" s="134">
        <f>IFERROR(FIND("=",$BI38,FIND("=",$BI38,LEN($BG38))+SUM($BJ38:BL38)+1+BM$23)-(FIND("=",$BI38,2)+SUM($BJ38:BL38)+BM$23)-1,0)</f>
        <v>0</v>
      </c>
      <c r="BN38" s="134">
        <f>IFERROR(FIND("=",$BI38,FIND("=",$BI38,LEN($BG38))+SUM($BJ38:BM38)+1+BN$23)-(FIND("=",$BI38,2)+SUM($BJ38:BM38)+BN$23)-1,0)</f>
        <v>0</v>
      </c>
      <c r="BO38" s="134">
        <f>IFERROR(FIND("=",$BI38,FIND("=",$BI38,LEN($BG38))+SUM($BJ38:BN38)+1+BO$23)-(FIND("=",$BI38,2)+SUM($BJ38:BN38)+BO$23)-1,0)</f>
        <v>0</v>
      </c>
      <c r="BP38" s="135"/>
      <c r="BQ38" s="135"/>
      <c r="BR38" s="135"/>
      <c r="BS38" s="135"/>
      <c r="BT38" s="135"/>
      <c r="BU38" s="133"/>
      <c r="BV38" s="108" t="str">
        <f>MID($CB38,SUMPRODUCT(LEN($BU38:BU38))+SUM($BJ38:BJ38)+1,IFERROR(FIND("#",$CB38,SUMPRODUCT(LEN($BU38:BU38))+SUM($BJ38:BJ38)+1),1000)-(SUMPRODUCT(LEN($BU38:BU38))+SUM($BJ38:BJ38)+1))</f>
        <v>SOSP.ASSE/I MOTORE/I-MECCANICA</v>
      </c>
      <c r="BW38" s="108" t="str">
        <f>MID($CB38,SUMPRODUCT(LEN($BU38:BV38))+SUM($BJ38:BK38)+1,IFERROR(FIND("#",$CB38,SUMPRODUCT(LEN($BU38:BV38))+SUM($BJ38:BK38)+1),1000)-(SUMPRODUCT(LEN($BU38:BV38))+SUM($BJ38:BK38)+1))</f>
        <v/>
      </c>
      <c r="BX38" s="108" t="str">
        <f>MID($CB38,SUMPRODUCT(LEN($BV38:BW38))+SUM($BK38:BL38)+1,IFERROR(FIND("#",$CB38,SUMPRODUCT(LEN($BV38:BW38))+SUM($BK38:BL38)+1),1000)-(SUMPRODUCT(LEN($BV38:BW38))+SUM($BK38:BL38)+1))</f>
        <v/>
      </c>
      <c r="BY38" s="108" t="str">
        <f>MID($CB38,SUMPRODUCT(LEN($BV38:BX38))+SUM($BK38:BM38)+1,IFERROR(FIND("#",$CB38,SUMPRODUCT(LEN($BV38:BX38))+SUM($BK38:BM38)+1),1000)-(SUMPRODUCT(LEN($BV38:BX38))+SUM($BK38:BM38)+1))</f>
        <v/>
      </c>
      <c r="BZ38" s="108" t="str">
        <f>MID($CB38,SUMPRODUCT(LEN($BV38:BY38))+SUM($BK38:BN38)+1,IFERROR(FIND("#",$CB38,SUMPRODUCT(LEN($BV38:BY38))+SUM($BK38:BN38)+1),1000)-(SUMPRODUCT(LEN($BV38:BY38))+SUM($BK38:BN38)+1))</f>
        <v/>
      </c>
      <c r="CA38" s="108" t="str">
        <f>MID($CB38,SUMPRODUCT(LEN($BV38:BZ38))+SUM($BK38:BO38)+1,IFERROR(FIND("#",$CB38,SUMPRODUCT(LEN($BV38:BZ38))+SUM($BK38:BO38)+1),1000)-(SUMPRODUCT(LEN($BV38:BZ38))+SUM($BK38:BO38)+1))</f>
        <v/>
      </c>
      <c r="CB38" s="118" t="s">
        <v>489</v>
      </c>
      <c r="CC38" s="118" t="s">
        <v>489</v>
      </c>
      <c r="CD38" s="124"/>
    </row>
    <row r="39" spans="1:82" ht="61.5" customHeight="1" x14ac:dyDescent="0.25">
      <c r="A39" s="120"/>
      <c r="B39" s="120"/>
      <c r="C39" s="120"/>
      <c r="D39" s="120"/>
      <c r="E39" s="120"/>
      <c r="F39" s="170" t="s">
        <v>479</v>
      </c>
      <c r="G39" s="167" t="s">
        <v>264</v>
      </c>
      <c r="H39" s="167" t="s">
        <v>360</v>
      </c>
      <c r="I39" s="167" t="s">
        <v>480</v>
      </c>
      <c r="J39" s="169" t="str">
        <f t="shared" si="6"/>
        <v xml:space="preserve">XB - Macchina agricola operatrice trainata  raccoglibietole </v>
      </c>
      <c r="K39" s="120"/>
      <c r="L39" s="169" t="s">
        <v>358</v>
      </c>
      <c r="M39" s="169" t="s">
        <v>492</v>
      </c>
      <c r="N39" s="169">
        <f t="shared" si="0"/>
        <v>2</v>
      </c>
      <c r="O39" s="169" t="str">
        <f t="shared" si="7"/>
        <v xml:space="preserve">R - CIRCOLAZIONE AMMESSA CON SCORTA DI PERSONALE DELL'IM-PRESA </v>
      </c>
      <c r="P39" s="120"/>
      <c r="Q39" s="120"/>
      <c r="R39" s="120"/>
      <c r="S39" s="120"/>
      <c r="T39" s="173"/>
      <c r="U39" s="173"/>
      <c r="V39" s="173"/>
      <c r="W39" s="173"/>
      <c r="X39" s="124"/>
      <c r="Y39" s="124"/>
      <c r="Z39" s="124"/>
      <c r="AA39" s="124"/>
      <c r="AB39" s="124"/>
      <c r="AC39" s="172" t="s">
        <v>493</v>
      </c>
      <c r="AD39" s="169" t="s">
        <v>494</v>
      </c>
      <c r="AE39" s="169"/>
      <c r="AF39" s="180" t="str">
        <f t="shared" si="4"/>
        <v>FM - MISCELATRICE</v>
      </c>
      <c r="AG39" s="124"/>
      <c r="AH39" s="124"/>
      <c r="AI39" s="124"/>
      <c r="AJ39" s="124"/>
      <c r="AK39" s="124"/>
      <c r="AL39" s="120"/>
      <c r="AM39" s="120"/>
      <c r="AN39" s="120"/>
      <c r="AO39" s="120"/>
      <c r="AP39" s="120"/>
      <c r="AQ39" s="120"/>
      <c r="AR39" s="61" t="s">
        <v>485</v>
      </c>
      <c r="AS39" s="62" t="s">
        <v>486</v>
      </c>
      <c r="AT39" s="186"/>
      <c r="AU39" s="186"/>
      <c r="AV39" s="186"/>
      <c r="AW39" s="186"/>
      <c r="AX39" s="120"/>
      <c r="AY39" s="120"/>
      <c r="AZ39" s="120"/>
      <c r="BA39" s="120"/>
      <c r="BB39" s="120"/>
      <c r="BC39" s="120"/>
      <c r="BD39" s="120"/>
      <c r="BE39" s="120"/>
      <c r="BF39" s="120"/>
      <c r="BG39" s="73" t="s">
        <v>497</v>
      </c>
      <c r="BH39" s="132" t="s">
        <v>498</v>
      </c>
      <c r="BI39" s="132" t="str">
        <f t="shared" si="5"/>
        <v>=SOSPE=4=</v>
      </c>
      <c r="BJ39" s="133"/>
      <c r="BK39" s="136">
        <v>1</v>
      </c>
      <c r="BL39" s="134">
        <f>IFERROR(FIND("=",$BI39,FIND("=",$BI39,LEN($BG39))+SUM($BJ39:BK39)+1+BL$23)-(FIND("=",$BI39,2)+SUM($BJ39:BK39)+BL$23)-1,0)</f>
        <v>0</v>
      </c>
      <c r="BM39" s="134">
        <f>IFERROR(FIND("=",$BI39,FIND("=",$BI39,LEN($BG39))+SUM($BJ39:BL39)+1+BM$23)-(FIND("=",$BI39,2)+SUM($BJ39:BL39)+BM$23)-1,0)</f>
        <v>0</v>
      </c>
      <c r="BN39" s="134">
        <f>IFERROR(FIND("=",$BI39,FIND("=",$BI39,LEN($BG39))+SUM($BJ39:BM39)+1+BN$23)-(FIND("=",$BI39,2)+SUM($BJ39:BM39)+BN$23)-1,0)</f>
        <v>0</v>
      </c>
      <c r="BO39" s="134">
        <f>IFERROR(FIND("=",$BI39,FIND("=",$BI39,LEN($BG39))+SUM($BJ39:BN39)+1+BO$23)-(FIND("=",$BI39,2)+SUM($BJ39:BN39)+BO$23)-1,0)</f>
        <v>0</v>
      </c>
      <c r="BP39" s="135"/>
      <c r="BQ39" s="135"/>
      <c r="BR39" s="135"/>
      <c r="BS39" s="135"/>
      <c r="BT39" s="135"/>
      <c r="BU39" s="133"/>
      <c r="BV39" s="108" t="str">
        <f>MID($CB39,SUMPRODUCT(LEN($BU39:BU39))+SUM($BJ39:BJ39)+1,IFERROR(FIND("#",$CB39,SUMPRODUCT(LEN($BU39:BU39))+SUM($BJ39:BJ39)+1),1000)-(SUMPRODUCT(LEN($BU39:BU39))+SUM($BJ39:BJ39)+1))</f>
        <v>SOSP.ASSE/I MOTORE/I IDRAULICA</v>
      </c>
      <c r="BW39" s="108" t="str">
        <f>MID($CB39,SUMPRODUCT(LEN($BU39:BV39))+SUM($BJ39:BK39)+1,IFERROR(FIND("#",$CB39,SUMPRODUCT(LEN($BU39:BV39))+SUM($BJ39:BK39)+1),1000)-(SUMPRODUCT(LEN($BU39:BV39))+SUM($BJ39:BK39)+1))</f>
        <v/>
      </c>
      <c r="BX39" s="108" t="str">
        <f>MID($CB39,SUMPRODUCT(LEN($BV39:BW39))+SUM($BK39:BL39)+1,IFERROR(FIND("#",$CB39,SUMPRODUCT(LEN($BV39:BW39))+SUM($BK39:BL39)+1),1000)-(SUMPRODUCT(LEN($BV39:BW39))+SUM($BK39:BL39)+1))</f>
        <v/>
      </c>
      <c r="BY39" s="108" t="str">
        <f>MID($CB39,SUMPRODUCT(LEN($BV39:BX39))+SUM($BK39:BM39)+1,IFERROR(FIND("#",$CB39,SUMPRODUCT(LEN($BV39:BX39))+SUM($BK39:BM39)+1),1000)-(SUMPRODUCT(LEN($BV39:BX39))+SUM($BK39:BM39)+1))</f>
        <v/>
      </c>
      <c r="BZ39" s="108" t="str">
        <f>MID($CB39,SUMPRODUCT(LEN($BV39:BY39))+SUM($BK39:BN39)+1,IFERROR(FIND("#",$CB39,SUMPRODUCT(LEN($BV39:BY39))+SUM($BK39:BN39)+1),1000)-(SUMPRODUCT(LEN($BV39:BY39))+SUM($BK39:BN39)+1))</f>
        <v/>
      </c>
      <c r="CA39" s="108" t="str">
        <f>MID($CB39,SUMPRODUCT(LEN($BV39:BZ39))+SUM($BK39:BO39)+1,IFERROR(FIND("#",$CB39,SUMPRODUCT(LEN($BV39:BZ39))+SUM($BK39:BO39)+1),1000)-(SUMPRODUCT(LEN($BV39:BZ39))+SUM($BK39:BO39)+1))</f>
        <v/>
      </c>
      <c r="CB39" s="118" t="s">
        <v>499</v>
      </c>
      <c r="CC39" s="118" t="s">
        <v>499</v>
      </c>
      <c r="CD39" s="124"/>
    </row>
    <row r="40" spans="1:82" ht="61.5" customHeight="1" x14ac:dyDescent="0.25">
      <c r="A40" s="120"/>
      <c r="B40" s="120"/>
      <c r="C40" s="120"/>
      <c r="D40" s="120"/>
      <c r="E40" s="120"/>
      <c r="F40" s="170" t="s">
        <v>490</v>
      </c>
      <c r="G40" s="167" t="s">
        <v>264</v>
      </c>
      <c r="H40" s="167" t="s">
        <v>360</v>
      </c>
      <c r="I40" s="167" t="s">
        <v>491</v>
      </c>
      <c r="J40" s="169" t="str">
        <f t="shared" si="6"/>
        <v xml:space="preserve">XC - Macchina agricola operatrice trainata  coltivatore rimorchiato </v>
      </c>
      <c r="K40" s="120"/>
      <c r="L40" s="169" t="s">
        <v>283</v>
      </c>
      <c r="M40" s="169" t="s">
        <v>502</v>
      </c>
      <c r="N40" s="169">
        <f t="shared" si="0"/>
        <v>2</v>
      </c>
      <c r="O40" s="169" t="str">
        <f t="shared" si="7"/>
        <v xml:space="preserve">S - OBBLIGO DISPOSIT. SUPPLEM. A LUCE LAMPEGG. APPROVATO ANCHE QUANDO NON E' OBBLIGAT. USO DISPOS. ILLUMINAZ. </v>
      </c>
      <c r="P40" s="120"/>
      <c r="Q40" s="173"/>
      <c r="R40" s="173"/>
      <c r="S40" s="173"/>
      <c r="T40" s="173"/>
      <c r="U40" s="173"/>
      <c r="V40" s="173"/>
      <c r="W40" s="173"/>
      <c r="X40" s="124"/>
      <c r="Y40" s="124"/>
      <c r="Z40" s="124"/>
      <c r="AA40" s="124"/>
      <c r="AB40" s="124"/>
      <c r="AC40" s="172" t="s">
        <v>503</v>
      </c>
      <c r="AD40" s="169" t="s">
        <v>504</v>
      </c>
      <c r="AE40" s="169"/>
      <c r="AF40" s="180" t="str">
        <f t="shared" si="4"/>
        <v>FN - VERRICELLO</v>
      </c>
      <c r="AG40" s="124"/>
      <c r="AH40" s="124"/>
      <c r="AI40" s="124"/>
      <c r="AJ40" s="124"/>
      <c r="AK40" s="124"/>
      <c r="AL40" s="120"/>
      <c r="AM40" s="120"/>
      <c r="AN40" s="120"/>
      <c r="AO40" s="120"/>
      <c r="AP40" s="120"/>
      <c r="AQ40" s="120"/>
      <c r="AR40" s="61" t="s">
        <v>495</v>
      </c>
      <c r="AS40" s="62" t="s">
        <v>496</v>
      </c>
      <c r="AT40" s="186"/>
      <c r="AU40" s="186"/>
      <c r="AV40" s="186"/>
      <c r="AW40" s="186"/>
      <c r="AX40" s="120"/>
      <c r="AY40" s="120"/>
      <c r="AZ40" s="120"/>
      <c r="BA40" s="120"/>
      <c r="BB40" s="120"/>
      <c r="BC40" s="120"/>
      <c r="BD40" s="120"/>
      <c r="BE40" s="120"/>
      <c r="BF40" s="120"/>
      <c r="BG40" s="73" t="s">
        <v>507</v>
      </c>
      <c r="BH40" s="132" t="s">
        <v>508</v>
      </c>
      <c r="BI40" s="132" t="str">
        <f t="shared" si="5"/>
        <v>=SOSPE=5=</v>
      </c>
      <c r="BJ40" s="133"/>
      <c r="BK40" s="136">
        <v>1</v>
      </c>
      <c r="BL40" s="134">
        <f>IFERROR(FIND("=",$BI40,FIND("=",$BI40,LEN($BG40))+SUM($BJ40:BK40)+1+BL$23)-(FIND("=",$BI40,2)+SUM($BJ40:BK40)+BL$23)-1,0)</f>
        <v>0</v>
      </c>
      <c r="BM40" s="134">
        <f>IFERROR(FIND("=",$BI40,FIND("=",$BI40,LEN($BG40))+SUM($BJ40:BL40)+1+BM$23)-(FIND("=",$BI40,2)+SUM($BJ40:BL40)+BM$23)-1,0)</f>
        <v>0</v>
      </c>
      <c r="BN40" s="134">
        <f>IFERROR(FIND("=",$BI40,FIND("=",$BI40,LEN($BG40))+SUM($BJ40:BM40)+1+BN$23)-(FIND("=",$BI40,2)+SUM($BJ40:BM40)+BN$23)-1,0)</f>
        <v>0</v>
      </c>
      <c r="BO40" s="134">
        <f>IFERROR(FIND("=",$BI40,FIND("=",$BI40,LEN($BG40))+SUM($BJ40:BN40)+1+BO$23)-(FIND("=",$BI40,2)+SUM($BJ40:BN40)+BO$23)-1,0)</f>
        <v>0</v>
      </c>
      <c r="BP40" s="135"/>
      <c r="BQ40" s="135"/>
      <c r="BR40" s="135"/>
      <c r="BS40" s="135"/>
      <c r="BT40" s="135"/>
      <c r="BU40" s="133"/>
      <c r="BV40" s="108" t="str">
        <f>MID($CB40,SUMPRODUCT(LEN($BU40:BU40))+SUM($BJ40:BJ40)+1,IFERROR(FIND("#",$CB40,SUMPRODUCT(LEN($BU40:BU40))+SUM($BJ40:BJ40)+1),1000)-(SUMPRODUCT(LEN($BU40:BU40))+SUM($BJ40:BJ40)+1))</f>
        <v>SOSP.ASSE/I MOTORE/I - PNEUMATICHE O EQUIVALENTI</v>
      </c>
      <c r="BW40" s="108" t="str">
        <f>MID($CB40,SUMPRODUCT(LEN($BU40:BV40))+SUM($BJ40:BK40)+1,IFERROR(FIND("#",$CB40,SUMPRODUCT(LEN($BU40:BV40))+SUM($BJ40:BK40)+1),1000)-(SUMPRODUCT(LEN($BU40:BV40))+SUM($BJ40:BK40)+1))</f>
        <v/>
      </c>
      <c r="BX40" s="108" t="str">
        <f>MID($CB40,SUMPRODUCT(LEN($BV40:BW40))+SUM($BK40:BL40)+1,IFERROR(FIND("#",$CB40,SUMPRODUCT(LEN($BV40:BW40))+SUM($BK40:BL40)+1),1000)-(SUMPRODUCT(LEN($BV40:BW40))+SUM($BK40:BL40)+1))</f>
        <v/>
      </c>
      <c r="BY40" s="108" t="str">
        <f>MID($CB40,SUMPRODUCT(LEN($BV40:BX40))+SUM($BK40:BM40)+1,IFERROR(FIND("#",$CB40,SUMPRODUCT(LEN($BV40:BX40))+SUM($BK40:BM40)+1),1000)-(SUMPRODUCT(LEN($BV40:BX40))+SUM($BK40:BM40)+1))</f>
        <v/>
      </c>
      <c r="BZ40" s="108" t="str">
        <f>MID($CB40,SUMPRODUCT(LEN($BV40:BY40))+SUM($BK40:BN40)+1,IFERROR(FIND("#",$CB40,SUMPRODUCT(LEN($BV40:BY40))+SUM($BK40:BN40)+1),1000)-(SUMPRODUCT(LEN($BV40:BY40))+SUM($BK40:BN40)+1))</f>
        <v/>
      </c>
      <c r="CA40" s="108" t="str">
        <f>MID($CB40,SUMPRODUCT(LEN($BV40:BZ40))+SUM($BK40:BO40)+1,IFERROR(FIND("#",$CB40,SUMPRODUCT(LEN($BV40:BZ40))+SUM($BK40:BO40)+1),1000)-(SUMPRODUCT(LEN($BV40:BZ40))+SUM($BK40:BO40)+1))</f>
        <v/>
      </c>
      <c r="CB40" s="118" t="s">
        <v>509</v>
      </c>
      <c r="CC40" s="118" t="s">
        <v>509</v>
      </c>
      <c r="CD40" s="124"/>
    </row>
    <row r="41" spans="1:82" ht="61.5" customHeight="1" x14ac:dyDescent="0.25">
      <c r="A41" s="120"/>
      <c r="B41" s="120"/>
      <c r="C41" s="120"/>
      <c r="D41" s="120"/>
      <c r="E41" s="120"/>
      <c r="F41" s="170" t="s">
        <v>500</v>
      </c>
      <c r="G41" s="167" t="s">
        <v>264</v>
      </c>
      <c r="H41" s="167" t="s">
        <v>360</v>
      </c>
      <c r="I41" s="167" t="s">
        <v>501</v>
      </c>
      <c r="J41" s="169" t="str">
        <f t="shared" si="6"/>
        <v xml:space="preserve">XF - Macchina agricola operatrice trainata  falciatrice </v>
      </c>
      <c r="K41" s="120"/>
      <c r="L41" s="169" t="s">
        <v>264</v>
      </c>
      <c r="M41" s="169" t="s">
        <v>512</v>
      </c>
      <c r="N41" s="169">
        <f t="shared" si="0"/>
        <v>2</v>
      </c>
      <c r="O41" s="169" t="str">
        <f t="shared" si="7"/>
        <v xml:space="preserve">T - LA MASSIMA SPORGENZA RISPETTO ALLA SAGOMA DEL VEICOLOTRATTORE NON DEVE  SUPERARE 25 CM. PER PARTE </v>
      </c>
      <c r="P41" s="120"/>
      <c r="Q41" s="173"/>
      <c r="R41" s="173"/>
      <c r="S41" s="173"/>
      <c r="T41" s="173"/>
      <c r="U41" s="173"/>
      <c r="V41" s="173"/>
      <c r="W41" s="173"/>
      <c r="X41" s="124"/>
      <c r="Y41" s="124"/>
      <c r="Z41" s="124"/>
      <c r="AA41" s="124"/>
      <c r="AB41" s="124"/>
      <c r="AC41" s="172" t="s">
        <v>513</v>
      </c>
      <c r="AD41" s="169" t="s">
        <v>514</v>
      </c>
      <c r="AE41" s="169"/>
      <c r="AF41" s="180" t="str">
        <f t="shared" si="4"/>
        <v xml:space="preserve">FR - VIBROFINITRICE </v>
      </c>
      <c r="AG41" s="124"/>
      <c r="AH41" s="124"/>
      <c r="AI41" s="124"/>
      <c r="AJ41" s="124"/>
      <c r="AK41" s="124"/>
      <c r="AL41" s="120"/>
      <c r="AM41" s="120"/>
      <c r="AN41" s="120"/>
      <c r="AO41" s="120"/>
      <c r="AP41" s="120"/>
      <c r="AQ41" s="120"/>
      <c r="AR41" s="61" t="s">
        <v>505</v>
      </c>
      <c r="AS41" s="62" t="s">
        <v>506</v>
      </c>
      <c r="AT41" s="186"/>
      <c r="AU41" s="186"/>
      <c r="AV41" s="186"/>
      <c r="AW41" s="186"/>
      <c r="AX41" s="120"/>
      <c r="AY41" s="120"/>
      <c r="AZ41" s="120"/>
      <c r="BA41" s="120"/>
      <c r="BB41" s="120"/>
      <c r="BC41" s="120"/>
      <c r="BD41" s="120"/>
      <c r="BE41" s="120"/>
      <c r="BF41" s="120"/>
      <c r="BG41" s="73" t="s">
        <v>517</v>
      </c>
      <c r="BH41" s="132" t="s">
        <v>518</v>
      </c>
      <c r="BI41" s="132" t="str">
        <f t="shared" si="5"/>
        <v>=SOVE2=###=</v>
      </c>
      <c r="BJ41" s="133"/>
      <c r="BK41" s="134">
        <f>IFERROR(FIND("=",$BI41,FIND("=",$BI41,LEN($BG41))+SUM($BJ41:BJ41)+1+BK$23)-(FIND("=",$BI41,2)+SUM($BJ41:BJ41)+BK$23)-1,0)</f>
        <v>3</v>
      </c>
      <c r="BL41" s="134">
        <f>IFERROR(FIND("=",$BI41,FIND("=",$BI41,LEN($BG41))+SUM($BJ41:BK41)+1+BL$23)-(FIND("=",$BI41,2)+SUM($BJ41:BK41)+BL$23)-1,0)</f>
        <v>0</v>
      </c>
      <c r="BM41" s="134">
        <f>IFERROR(FIND("=",$BI41,FIND("=",$BI41,LEN($BG41))+SUM($BJ41:BL41)+1+BM$23)-(FIND("=",$BI41,2)+SUM($BJ41:BL41)+BM$23)-1,0)</f>
        <v>0</v>
      </c>
      <c r="BN41" s="134">
        <f>IFERROR(FIND("=",$BI41,FIND("=",$BI41,LEN($BG41))+SUM($BJ41:BM41)+1+BN$23)-(FIND("=",$BI41,2)+SUM($BJ41:BM41)+BN$23)-1,0)</f>
        <v>0</v>
      </c>
      <c r="BO41" s="134">
        <f>IFERROR(FIND("=",$BI41,FIND("=",$BI41,LEN($BG41))+SUM($BJ41:BN41)+1+BO$23)-(FIND("=",$BI41,2)+SUM($BJ41:BN41)+BO$23)-1,0)</f>
        <v>0</v>
      </c>
      <c r="BP41" s="135">
        <v>1</v>
      </c>
      <c r="BQ41" s="135"/>
      <c r="BR41" s="135"/>
      <c r="BS41" s="135"/>
      <c r="BT41" s="135"/>
      <c r="BU41" s="133"/>
      <c r="BV41" s="108" t="str">
        <f>MID($CB41,SUMPRODUCT(LEN($BU41:BU41))+SUM($BJ41:BJ41)+1,IFERROR(FIND("#",$CB41,SUMPRODUCT(LEN($BU41:BU41))+SUM($BJ41:BJ41)+1),1000)-(SUMPRODUCT(LEN($BU41:BU41))+SUM($BJ41:BJ41)+1))</f>
        <v xml:space="preserve">AUTOVEICOLO MUNITO DI DISPOSITIVO PER SOLLEVAMENTO DEL SECONDO ASSE. L`USO DEL DISPOSITIVO E`AMMESSO SOLO PER L`AVVIAMENTO DEL VEICOLO NELLA MARCIA FUORI STRADA.A VEL.KM/H </v>
      </c>
      <c r="BW41" s="108" t="str">
        <f>MID($CB41,SUMPRODUCT(LEN($BU41:BV41))+SUM($BJ41:BK41)+1,IFERROR(FIND("#",$CB41,SUMPRODUCT(LEN($BU41:BV41))+SUM($BJ41:BK41)+1),1000)-(SUMPRODUCT(LEN($BU41:BV41))+SUM($BJ41:BK41)+1))</f>
        <v/>
      </c>
      <c r="BX41" s="108" t="str">
        <f>MID($CB41,SUMPRODUCT(LEN($BV41:BW41))+SUM($BK41:BL41)+1,IFERROR(FIND("#",$CB41,SUMPRODUCT(LEN($BV41:BW41))+SUM($BK41:BL41)+1),1000)-(SUMPRODUCT(LEN($BV41:BW41))+SUM($BK41:BL41)+1))</f>
        <v/>
      </c>
      <c r="BY41" s="108" t="str">
        <f>MID($CB41,SUMPRODUCT(LEN($BV41:BX41))+SUM($BK41:BM41)+1,IFERROR(FIND("#",$CB41,SUMPRODUCT(LEN($BV41:BX41))+SUM($BK41:BM41)+1),1000)-(SUMPRODUCT(LEN($BV41:BX41))+SUM($BK41:BM41)+1))</f>
        <v/>
      </c>
      <c r="BZ41" s="108" t="str">
        <f>MID($CB41,SUMPRODUCT(LEN($BV41:BY41))+SUM($BK41:BN41)+1,IFERROR(FIND("#",$CB41,SUMPRODUCT(LEN($BV41:BY41))+SUM($BK41:BN41)+1),1000)-(SUMPRODUCT(LEN($BV41:BY41))+SUM($BK41:BN41)+1))</f>
        <v/>
      </c>
      <c r="CA41" s="108" t="str">
        <f>MID($CB41,SUMPRODUCT(LEN($BV41:BZ41))+SUM($BK41:BO41)+1,IFERROR(FIND("#",$CB41,SUMPRODUCT(LEN($BV41:BZ41))+SUM($BK41:BO41)+1),1000)-(SUMPRODUCT(LEN($BV41:BZ41))+SUM($BK41:BO41)+1))</f>
        <v/>
      </c>
      <c r="CB41" s="118" t="s">
        <v>519</v>
      </c>
      <c r="CC41" s="118" t="s">
        <v>520</v>
      </c>
      <c r="CD41" s="124"/>
    </row>
    <row r="42" spans="1:82" ht="61.5" customHeight="1" x14ac:dyDescent="0.25">
      <c r="A42" s="120"/>
      <c r="B42" s="120"/>
      <c r="C42" s="120"/>
      <c r="D42" s="120"/>
      <c r="E42" s="120"/>
      <c r="F42" s="170" t="s">
        <v>510</v>
      </c>
      <c r="G42" s="167" t="s">
        <v>358</v>
      </c>
      <c r="H42" s="167" t="s">
        <v>360</v>
      </c>
      <c r="I42" s="167" t="s">
        <v>511</v>
      </c>
      <c r="J42" s="169" t="str">
        <f t="shared" si="6"/>
        <v xml:space="preserve">XJ - Rimorchio agricolo-cassone ribalta </v>
      </c>
      <c r="K42" s="120"/>
      <c r="L42" s="169" t="s">
        <v>523</v>
      </c>
      <c r="M42" s="169" t="s">
        <v>492</v>
      </c>
      <c r="N42" s="169">
        <f t="shared" si="0"/>
        <v>2</v>
      </c>
      <c r="O42" s="169" t="str">
        <f t="shared" si="7"/>
        <v xml:space="preserve">U - CIRCOLAZIONE AMMESSA CON SCORTA DI PERSONALE DELL'IM-PRESA </v>
      </c>
      <c r="P42" s="120"/>
      <c r="Q42" s="173"/>
      <c r="R42" s="173"/>
      <c r="S42" s="173"/>
      <c r="T42" s="173"/>
      <c r="U42" s="173"/>
      <c r="V42" s="173"/>
      <c r="W42" s="173"/>
      <c r="X42" s="124"/>
      <c r="Y42" s="124"/>
      <c r="Z42" s="124"/>
      <c r="AA42" s="124"/>
      <c r="AB42" s="124"/>
      <c r="AC42" s="172" t="s">
        <v>524</v>
      </c>
      <c r="AD42" s="169" t="s">
        <v>525</v>
      </c>
      <c r="AE42" s="169"/>
      <c r="AF42" s="180" t="str">
        <f t="shared" si="4"/>
        <v>FS - SCARIFICATORE</v>
      </c>
      <c r="AG42" s="124"/>
      <c r="AH42" s="124"/>
      <c r="AI42" s="124"/>
      <c r="AJ42" s="124"/>
      <c r="AK42" s="124"/>
      <c r="AL42" s="120"/>
      <c r="AM42" s="120"/>
      <c r="AN42" s="120"/>
      <c r="AO42" s="120"/>
      <c r="AP42" s="120"/>
      <c r="AQ42" s="120"/>
      <c r="AR42" s="61" t="s">
        <v>515</v>
      </c>
      <c r="AS42" s="62" t="s">
        <v>516</v>
      </c>
      <c r="AT42" s="186"/>
      <c r="AU42" s="186"/>
      <c r="AV42" s="186"/>
      <c r="AW42" s="186"/>
      <c r="AX42" s="120"/>
      <c r="AY42" s="120"/>
      <c r="AZ42" s="120"/>
      <c r="BA42" s="120"/>
      <c r="BB42" s="120"/>
      <c r="BC42" s="120"/>
      <c r="BD42" s="120"/>
      <c r="BE42" s="120"/>
      <c r="BF42" s="120"/>
      <c r="BG42" s="73" t="s">
        <v>528</v>
      </c>
      <c r="BH42" s="132" t="s">
        <v>529</v>
      </c>
      <c r="BI42" s="132" t="str">
        <f t="shared" si="5"/>
        <v>=SOVE3=###=</v>
      </c>
      <c r="BJ42" s="133"/>
      <c r="BK42" s="134">
        <f>IFERROR(FIND("=",$BI42,FIND("=",$BI42,LEN($BG42))+SUM($BJ42:BJ42)+1+BK$23)-(FIND("=",$BI42,2)+SUM($BJ42:BJ42)+BK$23)-1,0)</f>
        <v>3</v>
      </c>
      <c r="BL42" s="134">
        <f>IFERROR(FIND("=",$BI42,FIND("=",$BI42,LEN($BG42))+SUM($BJ42:BK42)+1+BL$23)-(FIND("=",$BI42,2)+SUM($BJ42:BK42)+BL$23)-1,0)</f>
        <v>0</v>
      </c>
      <c r="BM42" s="134">
        <f>IFERROR(FIND("=",$BI42,FIND("=",$BI42,LEN($BG42))+SUM($BJ42:BL42)+1+BM$23)-(FIND("=",$BI42,2)+SUM($BJ42:BL42)+BM$23)-1,0)</f>
        <v>0</v>
      </c>
      <c r="BN42" s="134">
        <f>IFERROR(FIND("=",$BI42,FIND("=",$BI42,LEN($BG42))+SUM($BJ42:BM42)+1+BN$23)-(FIND("=",$BI42,2)+SUM($BJ42:BM42)+BN$23)-1,0)</f>
        <v>0</v>
      </c>
      <c r="BO42" s="134">
        <f>IFERROR(FIND("=",$BI42,FIND("=",$BI42,LEN($BG42))+SUM($BJ42:BN42)+1+BO$23)-(FIND("=",$BI42,2)+SUM($BJ42:BN42)+BO$23)-1,0)</f>
        <v>0</v>
      </c>
      <c r="BP42" s="135"/>
      <c r="BQ42" s="135"/>
      <c r="BR42" s="135"/>
      <c r="BS42" s="135"/>
      <c r="BT42" s="135"/>
      <c r="BU42" s="133"/>
      <c r="BV42" s="108" t="str">
        <f>MID($CB42,SUMPRODUCT(LEN($BU42:BU42))+SUM($BJ42:BJ42)+1,IFERROR(FIND("#",$CB42,SUMPRODUCT(LEN($BU42:BU42))+SUM($BJ42:BJ42)+1),1000)-(SUMPRODUCT(LEN($BU42:BU42))+SUM($BJ42:BJ42)+1))</f>
        <v xml:space="preserve">AUTOVEICOLO MUNITO DI DISPOSITIVO PER SOLLEVAMENTO DEL TERZO ASSE. L`USO DEL DISPOSITIVO E`AMMESSO SOLO PER L`AVVIAMENTO DEL VEICOLO NELLA MARCIA FUORI STRADA.A VEL.KM/H </v>
      </c>
      <c r="BW42" s="108" t="str">
        <f>MID($CB42,SUMPRODUCT(LEN($BU42:BV42))+SUM($BJ42:BK42)+1,IFERROR(FIND("#",$CB42,SUMPRODUCT(LEN($BU42:BV42))+SUM($BJ42:BK42)+1),1000)-(SUMPRODUCT(LEN($BU42:BV42))+SUM($BJ42:BK42)+1))</f>
        <v/>
      </c>
      <c r="BX42" s="108" t="str">
        <f>MID($CB42,SUMPRODUCT(LEN($BV42:BW42))+SUM($BK42:BL42)+1,IFERROR(FIND("#",$CB42,SUMPRODUCT(LEN($BV42:BW42))+SUM($BK42:BL42)+1),1000)-(SUMPRODUCT(LEN($BV42:BW42))+SUM($BK42:BL42)+1))</f>
        <v/>
      </c>
      <c r="BY42" s="108" t="str">
        <f>MID($CB42,SUMPRODUCT(LEN($BV42:BX42))+SUM($BK42:BM42)+1,IFERROR(FIND("#",$CB42,SUMPRODUCT(LEN($BV42:BX42))+SUM($BK42:BM42)+1),1000)-(SUMPRODUCT(LEN($BV42:BX42))+SUM($BK42:BM42)+1))</f>
        <v/>
      </c>
      <c r="BZ42" s="108" t="str">
        <f>MID($CB42,SUMPRODUCT(LEN($BV42:BY42))+SUM($BK42:BN42)+1,IFERROR(FIND("#",$CB42,SUMPRODUCT(LEN($BV42:BY42))+SUM($BK42:BN42)+1),1000)-(SUMPRODUCT(LEN($BV42:BY42))+SUM($BK42:BN42)+1))</f>
        <v/>
      </c>
      <c r="CA42" s="108" t="str">
        <f>MID($CB42,SUMPRODUCT(LEN($BV42:BZ42))+SUM($BK42:BO42)+1,IFERROR(FIND("#",$CB42,SUMPRODUCT(LEN($BV42:BZ42))+SUM($BK42:BO42)+1),1000)-(SUMPRODUCT(LEN($BV42:BZ42))+SUM($BK42:BO42)+1))</f>
        <v/>
      </c>
      <c r="CB42" s="118" t="s">
        <v>530</v>
      </c>
      <c r="CC42" s="118" t="s">
        <v>531</v>
      </c>
      <c r="CD42" s="124"/>
    </row>
    <row r="43" spans="1:82" ht="61.5" customHeight="1" x14ac:dyDescent="0.25">
      <c r="A43" s="120"/>
      <c r="B43" s="120"/>
      <c r="C43" s="120"/>
      <c r="D43" s="120"/>
      <c r="E43" s="120"/>
      <c r="F43" s="171" t="s">
        <v>521</v>
      </c>
      <c r="G43" s="168" t="s">
        <v>264</v>
      </c>
      <c r="H43" s="167" t="s">
        <v>360</v>
      </c>
      <c r="I43" s="167" t="s">
        <v>522</v>
      </c>
      <c r="J43" s="169" t="str">
        <f t="shared" si="6"/>
        <v xml:space="preserve">XL - Macchina agricola operatrice trainata  falciacaricatrice </v>
      </c>
      <c r="K43" s="120"/>
      <c r="L43" s="169" t="s">
        <v>435</v>
      </c>
      <c r="M43" s="169" t="s">
        <v>534</v>
      </c>
      <c r="N43" s="169">
        <f t="shared" si="0"/>
        <v>2</v>
      </c>
      <c r="O43" s="169" t="str">
        <f t="shared" si="7"/>
        <v xml:space="preserve">V - CIRCOLAZIONE AMMESSA CON SCORTA DI PERSONALE DELL'IM-PRESA E CON PROIETTORI ANABBAGLIANTI IN FUNZIONE </v>
      </c>
      <c r="P43" s="120"/>
      <c r="Q43" s="173"/>
      <c r="R43" s="173"/>
      <c r="S43" s="173"/>
      <c r="T43" s="173"/>
      <c r="U43" s="173"/>
      <c r="V43" s="173"/>
      <c r="W43" s="173"/>
      <c r="X43" s="124"/>
      <c r="Y43" s="124"/>
      <c r="Z43" s="124"/>
      <c r="AA43" s="124"/>
      <c r="AB43" s="124"/>
      <c r="AC43" s="172" t="s">
        <v>535</v>
      </c>
      <c r="AD43" s="169" t="s">
        <v>536</v>
      </c>
      <c r="AE43" s="169"/>
      <c r="AF43" s="180" t="str">
        <f t="shared" si="4"/>
        <v>FT - SCARIFICATORE POSTERIORE</v>
      </c>
      <c r="AG43" s="124"/>
      <c r="AH43" s="124"/>
      <c r="AI43" s="124"/>
      <c r="AJ43" s="124"/>
      <c r="AK43" s="124"/>
      <c r="AL43" s="120"/>
      <c r="AM43" s="120"/>
      <c r="AN43" s="120"/>
      <c r="AO43" s="120"/>
      <c r="AP43" s="120"/>
      <c r="AQ43" s="120"/>
      <c r="AR43" s="61" t="s">
        <v>526</v>
      </c>
      <c r="AS43" s="62" t="s">
        <v>527</v>
      </c>
      <c r="AT43" s="186"/>
      <c r="AU43" s="186"/>
      <c r="AV43" s="186"/>
      <c r="AW43" s="186"/>
      <c r="AX43" s="120"/>
      <c r="AY43" s="120"/>
      <c r="AZ43" s="120"/>
      <c r="BA43" s="120"/>
      <c r="BB43" s="120"/>
      <c r="BC43" s="120"/>
      <c r="BD43" s="120"/>
      <c r="BE43" s="120"/>
      <c r="BF43" s="120"/>
      <c r="BG43" s="73" t="s">
        <v>539</v>
      </c>
      <c r="BH43" s="132" t="s">
        <v>540</v>
      </c>
      <c r="BI43" s="132" t="str">
        <f t="shared" si="5"/>
        <v>=TRENO=#####=</v>
      </c>
      <c r="BJ43" s="133"/>
      <c r="BK43" s="134">
        <f>IFERROR(FIND("=",$BI43,FIND("=",$BI43,LEN($BG43))+SUM($BJ43:BJ43)+1+BK$23)-(FIND("=",$BI43,2)+SUM($BJ43:BJ43)+BK$23)-1,0)</f>
        <v>5</v>
      </c>
      <c r="BL43" s="134">
        <f>IFERROR(FIND("=",$BI43,FIND("=",$BI43,LEN($BG43))+SUM($BJ43:BK43)+1+BL$23)-(FIND("=",$BI43,2)+SUM($BJ43:BK43)+BL$23)-1,0)</f>
        <v>0</v>
      </c>
      <c r="BM43" s="134">
        <f>IFERROR(FIND("=",$BI43,FIND("=",$BI43,LEN($BG43))+SUM($BJ43:BL43)+1+BM$23)-(FIND("=",$BI43,2)+SUM($BJ43:BL43)+BM$23)-1,0)</f>
        <v>0</v>
      </c>
      <c r="BN43" s="134">
        <f>IFERROR(FIND("=",$BI43,FIND("=",$BI43,LEN($BG43))+SUM($BJ43:BM43)+1+BN$23)-(FIND("=",$BI43,2)+SUM($BJ43:BM43)+BN$23)-1,0)</f>
        <v>0</v>
      </c>
      <c r="BO43" s="134">
        <f>IFERROR(FIND("=",$BI43,FIND("=",$BI43,LEN($BG43))+SUM($BJ43:BN43)+1+BO$23)-(FIND("=",$BI43,2)+SUM($BJ43:BN43)+BO$23)-1,0)</f>
        <v>0</v>
      </c>
      <c r="BP43" s="135"/>
      <c r="BQ43" s="135"/>
      <c r="BR43" s="135"/>
      <c r="BS43" s="135"/>
      <c r="BT43" s="135"/>
      <c r="BU43" s="133"/>
      <c r="BV43" s="108" t="str">
        <f>MID($CB43,SUMPRODUCT(LEN($BU43:BU43))+SUM($BJ43:BJ43)+1,IFERROR(FIND("#",$CB43,SUMPRODUCT(LEN($BU43:BU43))+SUM($BJ43:BJ43)+1),1000)-(SUMPRODUCT(LEN($BU43:BU43))+SUM($BJ43:BJ43)+1))</f>
        <v xml:space="preserve">MASSA MASSIMA TOTALE DELLE COMBINA- ZIONI VEICOLO+RIMORCHIO = KG </v>
      </c>
      <c r="BW43" s="108" t="str">
        <f>MID($CB43,SUMPRODUCT(LEN($BU43:BV43))+SUM($BJ43:BK43)+1,IFERROR(FIND("#",$CB43,SUMPRODUCT(LEN($BU43:BV43))+SUM($BJ43:BK43)+1),1000)-(SUMPRODUCT(LEN($BU43:BV43))+SUM($BJ43:BK43)+1))</f>
        <v>.</v>
      </c>
      <c r="BX43" s="108" t="str">
        <f>MID($CB43,SUMPRODUCT(LEN($BV43:BW43))+SUM($BK43:BL43)+1,IFERROR(FIND("#",$CB43,SUMPRODUCT(LEN($BV43:BW43))+SUM($BK43:BL43)+1),1000)-(SUMPRODUCT(LEN($BV43:BW43))+SUM($BK43:BL43)+1))</f>
        <v/>
      </c>
      <c r="BY43" s="108" t="str">
        <f>MID($CB43,SUMPRODUCT(LEN($BV43:BX43))+SUM($BK43:BM43)+1,IFERROR(FIND("#",$CB43,SUMPRODUCT(LEN($BV43:BX43))+SUM($BK43:BM43)+1),1000)-(SUMPRODUCT(LEN($BV43:BX43))+SUM($BK43:BM43)+1))</f>
        <v/>
      </c>
      <c r="BZ43" s="108" t="str">
        <f>MID($CB43,SUMPRODUCT(LEN($BV43:BY43))+SUM($BK43:BN43)+1,IFERROR(FIND("#",$CB43,SUMPRODUCT(LEN($BV43:BY43))+SUM($BK43:BN43)+1),1000)-(SUMPRODUCT(LEN($BV43:BY43))+SUM($BK43:BN43)+1))</f>
        <v/>
      </c>
      <c r="CA43" s="108" t="str">
        <f>MID($CB43,SUMPRODUCT(LEN($BV43:BZ43))+SUM($BK43:BO43)+1,IFERROR(FIND("#",$CB43,SUMPRODUCT(LEN($BV43:BZ43))+SUM($BK43:BO43)+1),1000)-(SUMPRODUCT(LEN($BV43:BZ43))+SUM($BK43:BO43)+1))</f>
        <v/>
      </c>
      <c r="CB43" s="118" t="s">
        <v>541</v>
      </c>
      <c r="CC43" s="118" t="s">
        <v>541</v>
      </c>
      <c r="CD43" s="124"/>
    </row>
    <row r="44" spans="1:82" ht="61.5" customHeight="1" x14ac:dyDescent="0.25">
      <c r="A44" s="120"/>
      <c r="B44" s="120"/>
      <c r="C44" s="120"/>
      <c r="D44" s="120"/>
      <c r="E44" s="120"/>
      <c r="F44" s="171" t="s">
        <v>532</v>
      </c>
      <c r="G44" s="168" t="s">
        <v>264</v>
      </c>
      <c r="H44" s="167" t="s">
        <v>360</v>
      </c>
      <c r="I44" s="167" t="s">
        <v>533</v>
      </c>
      <c r="J44" s="169" t="str">
        <f t="shared" si="6"/>
        <v xml:space="preserve">XN - Macchina agricola operatrice trainata  falcia-condiziona-andanatrice </v>
      </c>
      <c r="K44" s="120"/>
      <c r="L44" s="169" t="s">
        <v>544</v>
      </c>
      <c r="M44" s="169" t="s">
        <v>545</v>
      </c>
      <c r="N44" s="169">
        <f t="shared" si="0"/>
        <v>2</v>
      </c>
      <c r="O44" s="169" t="str">
        <f t="shared" si="7"/>
        <v xml:space="preserve">W - LUCE ANABBAGLIANTE IN FUNZIONE ANCHE QUANDO NON E'   OBBLIGATORIO L'USO DEI DISPOSITIVI DI ILLUMINAZIONE. </v>
      </c>
      <c r="P44" s="120"/>
      <c r="Q44" s="120"/>
      <c r="R44" s="120"/>
      <c r="S44" s="120"/>
      <c r="T44" s="173"/>
      <c r="U44" s="173"/>
      <c r="V44" s="173"/>
      <c r="W44" s="173"/>
      <c r="X44" s="124"/>
      <c r="Y44" s="124"/>
      <c r="Z44" s="124"/>
      <c r="AA44" s="124"/>
      <c r="AB44" s="124"/>
      <c r="AC44" s="172" t="s">
        <v>546</v>
      </c>
      <c r="AD44" s="169" t="s">
        <v>547</v>
      </c>
      <c r="AE44" s="169" t="s">
        <v>548</v>
      </c>
      <c r="AF44" s="180" t="str">
        <f t="shared" si="4"/>
        <v>GA - GRU</v>
      </c>
      <c r="AG44" s="124"/>
      <c r="AH44" s="124"/>
      <c r="AI44" s="124"/>
      <c r="AJ44" s="124"/>
      <c r="AK44" s="124"/>
      <c r="AL44" s="120"/>
      <c r="AM44" s="120"/>
      <c r="AN44" s="120"/>
      <c r="AO44" s="120"/>
      <c r="AP44" s="120"/>
      <c r="AQ44" s="120"/>
      <c r="AR44" s="61" t="s">
        <v>537</v>
      </c>
      <c r="AS44" s="62" t="s">
        <v>538</v>
      </c>
      <c r="AU44" s="175"/>
      <c r="AV44" s="175"/>
      <c r="AW44" s="175"/>
      <c r="AX44" s="120"/>
      <c r="AY44" s="120"/>
      <c r="AZ44" s="120"/>
      <c r="BA44" s="120"/>
      <c r="BB44" s="120"/>
      <c r="BC44" s="120"/>
      <c r="BD44" s="120"/>
      <c r="BE44" s="120"/>
      <c r="BF44" s="120"/>
      <c r="BG44" s="73" t="s">
        <v>877</v>
      </c>
      <c r="BH44" s="132" t="s">
        <v>876</v>
      </c>
      <c r="BI44" s="132" t="str">
        <f t="shared" si="5"/>
        <v>=RALLA=D=####;U=##,##;H=####/####=</v>
      </c>
      <c r="BJ44" s="133"/>
      <c r="BK44" s="134">
        <f>IFERROR(FIND("=",$BI44,FIND("=",$BI44,LEN($BG44))+SUM($BJ44:BJ44)+1+BK$23)-(FIND("=",$BI44,2)+SUM($BJ44:BJ44)+BK$23)-1,0)</f>
        <v>1</v>
      </c>
      <c r="BL44" s="134">
        <f>IFERROR(FIND("=",$BI44,FIND("=",$BI44,LEN($BG44))+SUM($BJ44:BK44)+1+BL$23)-(FIND("=",$BI44,2)+SUM($BJ44:BK44)+BL$23)-1,0)</f>
        <v>6</v>
      </c>
      <c r="BM44" s="134">
        <f>IFERROR(FIND("=",$BI44,FIND("=",$BI44,LEN($BG44))+SUM($BJ44:BL44)+1+BM$23)-(FIND("=",$BI44,2)+SUM($BJ44:BL44)+BM$23)-1,0)</f>
        <v>7</v>
      </c>
      <c r="BN44" s="134">
        <f>IFERROR(FIND("=",$BI44,FIND("=",$BI44,LEN($BG44))+SUM($BJ44:BM44)+1+BN$23)-(FIND("=",$BI44,2)+SUM($BJ44:BM44)+BN$23)-1,0)</f>
        <v>9</v>
      </c>
      <c r="BO44" s="134">
        <f>IFERROR(FIND("=",$BI44,FIND("=",$BI44,LEN($BG44))+SUM($BJ44:BN44)+1+BO$23)-(FIND("=",$BI44,2)+SUM($BJ44:BN44)+BO$23)-1,0)</f>
        <v>0</v>
      </c>
      <c r="BP44" s="135"/>
      <c r="BQ44" s="135"/>
      <c r="BR44" s="135"/>
      <c r="BS44" s="135"/>
      <c r="BT44" s="135"/>
      <c r="BU44" s="133"/>
      <c r="BV44" s="108" t="str">
        <f>MID($CB44,SUMPRODUCT(LEN($BU44:BU44))+SUM($BJ44:BJ44)+1,IFERROR(FIND("#",$CB44,SUMPRODUCT(LEN($BU44:BU44))+SUM($BJ44:BJ44)+1),1000)-(SUMPRODUCT(LEN($BU44:BU44))+SUM($BJ44:BJ44)+1))</f>
        <v>*RALLA*: ANTEPRIMA NON DISPONIBILE</v>
      </c>
      <c r="BW44" s="108"/>
      <c r="BX44" s="108"/>
      <c r="BY44" s="108"/>
      <c r="BZ44" s="108"/>
      <c r="CA44" s="108"/>
      <c r="CB44" s="118" t="s">
        <v>879</v>
      </c>
      <c r="CC44" s="118" t="s">
        <v>878</v>
      </c>
      <c r="CD44" s="120"/>
    </row>
    <row r="45" spans="1:82" ht="61.5" customHeight="1" x14ac:dyDescent="0.25">
      <c r="A45" s="120"/>
      <c r="B45" s="120"/>
      <c r="C45" s="120"/>
      <c r="D45" s="120"/>
      <c r="E45" s="120"/>
      <c r="F45" s="170" t="s">
        <v>542</v>
      </c>
      <c r="G45" s="167" t="s">
        <v>264</v>
      </c>
      <c r="H45" s="167" t="s">
        <v>360</v>
      </c>
      <c r="I45" s="167" t="s">
        <v>543</v>
      </c>
      <c r="J45" s="169" t="str">
        <f t="shared" si="6"/>
        <v xml:space="preserve">XP - Macchina agricola operatrice trainata  raccogli-pressa-imballatrice </v>
      </c>
      <c r="K45" s="120"/>
      <c r="L45" s="169" t="s">
        <v>447</v>
      </c>
      <c r="M45" s="169" t="s">
        <v>551</v>
      </c>
      <c r="N45" s="169">
        <f t="shared" si="0"/>
        <v>1</v>
      </c>
      <c r="O45" s="169" t="str">
        <f t="shared" si="7"/>
        <v xml:space="preserve">X - VELOCITA' MASSIMA DI TRASFERIMENTO 15 KM/H </v>
      </c>
      <c r="P45" s="120"/>
      <c r="Q45" s="120"/>
      <c r="R45" s="120"/>
      <c r="S45" s="120"/>
      <c r="T45" s="173"/>
      <c r="U45" s="173"/>
      <c r="V45" s="173"/>
      <c r="W45" s="173"/>
      <c r="X45" s="124"/>
      <c r="Y45" s="124"/>
      <c r="Z45" s="124"/>
      <c r="AA45" s="124"/>
      <c r="AB45" s="124"/>
      <c r="AC45" s="172" t="s">
        <v>552</v>
      </c>
      <c r="AD45" s="169" t="s">
        <v>553</v>
      </c>
      <c r="AE45" s="169" t="s">
        <v>548</v>
      </c>
      <c r="AF45" s="180" t="str">
        <f t="shared" si="4"/>
        <v>GB - GRU PER PORTI</v>
      </c>
      <c r="AG45" s="124"/>
      <c r="AH45" s="124"/>
      <c r="AI45" s="124"/>
      <c r="AJ45" s="124"/>
      <c r="AK45" s="124"/>
      <c r="AL45" s="120"/>
      <c r="AM45" s="120"/>
      <c r="AN45" s="120"/>
      <c r="AO45" s="120"/>
      <c r="AP45" s="120"/>
      <c r="AQ45" s="120"/>
      <c r="AR45" s="124"/>
      <c r="AS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73"/>
      <c r="BH45" s="132"/>
      <c r="BI45" s="132"/>
      <c r="BJ45" s="133"/>
      <c r="BK45" s="134"/>
      <c r="BL45" s="134"/>
      <c r="BM45" s="134"/>
      <c r="BN45" s="134"/>
      <c r="BO45" s="134"/>
      <c r="BP45" s="135"/>
      <c r="BQ45" s="135"/>
      <c r="BR45" s="135"/>
      <c r="BS45" s="135"/>
      <c r="BT45" s="135"/>
      <c r="BU45" s="133"/>
      <c r="BV45" s="108"/>
      <c r="BW45" s="108"/>
      <c r="BX45" s="108"/>
      <c r="BY45" s="108"/>
      <c r="BZ45" s="108"/>
      <c r="CA45" s="108"/>
      <c r="CB45" s="118"/>
      <c r="CC45" s="118"/>
      <c r="CD45" s="120"/>
    </row>
    <row r="46" spans="1:82" ht="61.5" customHeight="1" x14ac:dyDescent="0.25">
      <c r="A46" s="120"/>
      <c r="B46" s="120"/>
      <c r="C46" s="120"/>
      <c r="D46" s="120"/>
      <c r="E46" s="120"/>
      <c r="F46" s="170" t="s">
        <v>549</v>
      </c>
      <c r="G46" s="167" t="s">
        <v>264</v>
      </c>
      <c r="H46" s="167" t="s">
        <v>360</v>
      </c>
      <c r="I46" s="167" t="s">
        <v>550</v>
      </c>
      <c r="J46" s="169" t="str">
        <f t="shared" si="6"/>
        <v xml:space="preserve">XR - Macchina agricola operatrice trainata  ranghinatore </v>
      </c>
      <c r="K46" s="120"/>
      <c r="L46" s="169" t="s">
        <v>556</v>
      </c>
      <c r="M46" s="169" t="s">
        <v>557</v>
      </c>
      <c r="N46" s="169">
        <f t="shared" si="0"/>
        <v>1</v>
      </c>
      <c r="O46" s="169" t="str">
        <f t="shared" si="7"/>
        <v xml:space="preserve">Y - VELOCITA' MASSIMA DI TRASFERIMENTO 25 KM/H </v>
      </c>
      <c r="P46" s="120"/>
      <c r="Q46" s="120"/>
      <c r="R46" s="120"/>
      <c r="S46" s="120"/>
      <c r="T46" s="173"/>
      <c r="U46" s="173"/>
      <c r="V46" s="173"/>
      <c r="W46" s="173"/>
      <c r="X46" s="124"/>
      <c r="Y46" s="124"/>
      <c r="Z46" s="124"/>
      <c r="AA46" s="124"/>
      <c r="AB46" s="124"/>
      <c r="AC46" s="172" t="s">
        <v>558</v>
      </c>
      <c r="AD46" s="169" t="s">
        <v>559</v>
      </c>
      <c r="AE46" s="169" t="s">
        <v>548</v>
      </c>
      <c r="AF46" s="180" t="str">
        <f t="shared" si="4"/>
        <v>GC - GRU CON PIATTAFORMA</v>
      </c>
      <c r="AG46" s="124"/>
      <c r="AH46" s="124"/>
      <c r="AI46" s="124"/>
      <c r="AJ46" s="124"/>
      <c r="AK46" s="124"/>
      <c r="AL46" s="120"/>
      <c r="AM46" s="120"/>
      <c r="AN46" s="120"/>
      <c r="AO46" s="120"/>
      <c r="AP46" s="120"/>
      <c r="AQ46" s="120"/>
      <c r="AR46" s="120"/>
      <c r="AS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73"/>
      <c r="BH46" s="132"/>
      <c r="BI46" s="132"/>
      <c r="BJ46" s="133"/>
      <c r="BK46" s="134"/>
      <c r="BL46" s="134"/>
      <c r="BM46" s="134"/>
      <c r="BN46" s="134"/>
      <c r="BO46" s="134"/>
      <c r="BP46" s="135"/>
      <c r="BQ46" s="135"/>
      <c r="BR46" s="135"/>
      <c r="BS46" s="135"/>
      <c r="BT46" s="135"/>
      <c r="BU46" s="133"/>
      <c r="BV46" s="108"/>
      <c r="BW46" s="108"/>
      <c r="BX46" s="108"/>
      <c r="BY46" s="108"/>
      <c r="BZ46" s="108"/>
      <c r="CA46" s="108"/>
      <c r="CB46" s="118"/>
      <c r="CC46" s="118"/>
      <c r="CD46" s="120"/>
    </row>
    <row r="47" spans="1:82" ht="61.5" customHeight="1" x14ac:dyDescent="0.25">
      <c r="A47" s="120"/>
      <c r="B47" s="120"/>
      <c r="C47" s="120"/>
      <c r="D47" s="120"/>
      <c r="E47" s="120"/>
      <c r="F47" s="170" t="s">
        <v>554</v>
      </c>
      <c r="G47" s="167" t="s">
        <v>264</v>
      </c>
      <c r="H47" s="167" t="s">
        <v>360</v>
      </c>
      <c r="I47" s="167" t="s">
        <v>555</v>
      </c>
      <c r="J47" s="169" t="str">
        <f t="shared" si="6"/>
        <v xml:space="preserve">XS - Macchina agricola operatrice trainata  seminatrice </v>
      </c>
      <c r="K47" s="120"/>
      <c r="L47" s="169" t="s">
        <v>460</v>
      </c>
      <c r="M47" s="169" t="s">
        <v>562</v>
      </c>
      <c r="N47" s="169">
        <f t="shared" si="0"/>
        <v>1</v>
      </c>
      <c r="O47" s="169" t="str">
        <f t="shared" si="7"/>
        <v>Z - ** E' VIETATA LA CIRCOLAZIONE SU STRADA **.</v>
      </c>
      <c r="P47" s="120"/>
      <c r="Q47" s="120"/>
      <c r="R47" s="120"/>
      <c r="S47" s="120"/>
      <c r="T47" s="173"/>
      <c r="U47" s="173"/>
      <c r="V47" s="173"/>
      <c r="W47" s="173"/>
      <c r="X47" s="124"/>
      <c r="Y47" s="124"/>
      <c r="Z47" s="124"/>
      <c r="AA47" s="124"/>
      <c r="AB47" s="124"/>
      <c r="AC47" s="172" t="s">
        <v>563</v>
      </c>
      <c r="AD47" s="169" t="s">
        <v>564</v>
      </c>
      <c r="AE47" s="169" t="s">
        <v>548</v>
      </c>
      <c r="AF47" s="180" t="str">
        <f t="shared" si="4"/>
        <v>GD - POSATUBI</v>
      </c>
      <c r="AG47" s="124"/>
      <c r="AH47" s="124"/>
      <c r="AI47" s="124"/>
      <c r="AJ47" s="124"/>
      <c r="AK47" s="124"/>
      <c r="AL47" s="120"/>
      <c r="AM47" s="120"/>
      <c r="AN47" s="120"/>
      <c r="AO47" s="120"/>
      <c r="AP47" s="120"/>
      <c r="AQ47" s="120"/>
      <c r="AR47" s="120"/>
      <c r="AS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73"/>
      <c r="BH47" s="132"/>
      <c r="BI47" s="132"/>
      <c r="BJ47" s="133"/>
      <c r="BK47" s="134"/>
      <c r="BL47" s="134"/>
      <c r="BM47" s="134"/>
      <c r="BN47" s="134"/>
      <c r="BO47" s="134"/>
      <c r="BP47" s="135"/>
      <c r="BQ47" s="135"/>
      <c r="BR47" s="135"/>
      <c r="BS47" s="135"/>
      <c r="BT47" s="135"/>
      <c r="BU47" s="133"/>
      <c r="BV47" s="108"/>
      <c r="BW47" s="108"/>
      <c r="BX47" s="108"/>
      <c r="BY47" s="108"/>
      <c r="BZ47" s="108"/>
      <c r="CA47" s="108"/>
      <c r="CB47" s="118"/>
      <c r="CC47" s="118"/>
      <c r="CD47" s="120"/>
    </row>
    <row r="48" spans="1:82" ht="61.5" customHeight="1" x14ac:dyDescent="0.25">
      <c r="A48" s="120"/>
      <c r="B48" s="120"/>
      <c r="C48" s="120"/>
      <c r="D48" s="120"/>
      <c r="E48" s="120"/>
      <c r="F48" s="170" t="s">
        <v>560</v>
      </c>
      <c r="G48" s="167" t="s">
        <v>264</v>
      </c>
      <c r="H48" s="167" t="s">
        <v>360</v>
      </c>
      <c r="I48" s="167" t="s">
        <v>561</v>
      </c>
      <c r="J48" s="169" t="str">
        <f t="shared" si="6"/>
        <v xml:space="preserve">XT - Macchina agricola operatrice trainata  falcia-trincia-caricatrice </v>
      </c>
      <c r="K48" s="120"/>
      <c r="L48" s="120"/>
      <c r="M48" s="120"/>
      <c r="N48" s="120"/>
      <c r="O48" s="120"/>
      <c r="P48" s="120"/>
      <c r="Q48" s="120"/>
      <c r="R48" s="120"/>
      <c r="S48" s="120"/>
      <c r="T48" s="173"/>
      <c r="U48" s="173"/>
      <c r="V48" s="173"/>
      <c r="W48" s="173"/>
      <c r="X48" s="120"/>
      <c r="Y48" s="120"/>
      <c r="Z48" s="120"/>
      <c r="AA48" s="120"/>
      <c r="AB48" s="120"/>
      <c r="AC48" s="172" t="s">
        <v>567</v>
      </c>
      <c r="AD48" s="169" t="s">
        <v>568</v>
      </c>
      <c r="AE48" s="169" t="s">
        <v>548</v>
      </c>
      <c r="AF48" s="180" t="str">
        <f t="shared" si="4"/>
        <v>GE - GRU CON PIATTAFORMA PORTAPERSONE A TORRE TELESCOPICA</v>
      </c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73"/>
      <c r="BH48" s="132"/>
      <c r="BI48" s="132"/>
      <c r="BJ48" s="133"/>
      <c r="BK48" s="134"/>
      <c r="BL48" s="134"/>
      <c r="BM48" s="134"/>
      <c r="BN48" s="134"/>
      <c r="BO48" s="134"/>
      <c r="BP48" s="135"/>
      <c r="BQ48" s="135"/>
      <c r="BR48" s="135"/>
      <c r="BS48" s="135"/>
      <c r="BT48" s="135"/>
      <c r="BU48" s="133"/>
      <c r="BV48" s="108"/>
      <c r="BW48" s="108"/>
      <c r="BX48" s="108"/>
      <c r="BY48" s="108"/>
      <c r="BZ48" s="108"/>
      <c r="CA48" s="108"/>
      <c r="CB48" s="118"/>
      <c r="CC48" s="118"/>
      <c r="CD48" s="120"/>
    </row>
    <row r="49" spans="1:82" ht="61.5" customHeight="1" x14ac:dyDescent="0.25">
      <c r="A49" s="120"/>
      <c r="B49" s="120"/>
      <c r="C49" s="120"/>
      <c r="D49" s="120"/>
      <c r="E49" s="120"/>
      <c r="F49" s="170" t="s">
        <v>565</v>
      </c>
      <c r="G49" s="167" t="s">
        <v>264</v>
      </c>
      <c r="H49" s="167" t="s">
        <v>360</v>
      </c>
      <c r="I49" s="167" t="s">
        <v>566</v>
      </c>
      <c r="J49" s="169" t="str">
        <f t="shared" si="6"/>
        <v xml:space="preserve">XV - Macchina agricola operatrice trainata </v>
      </c>
      <c r="K49" s="120"/>
      <c r="L49" s="120"/>
      <c r="M49" s="120"/>
      <c r="N49" s="120"/>
      <c r="O49" s="120"/>
      <c r="P49" s="120"/>
      <c r="Q49" s="120"/>
      <c r="R49" s="120"/>
      <c r="S49" s="120"/>
      <c r="T49" s="173"/>
      <c r="U49" s="173"/>
      <c r="V49" s="173"/>
      <c r="W49" s="173"/>
      <c r="X49" s="120"/>
      <c r="Y49" s="120"/>
      <c r="Z49" s="120"/>
      <c r="AA49" s="120"/>
      <c r="AB49" s="120"/>
      <c r="AC49" s="172" t="s">
        <v>571</v>
      </c>
      <c r="AD49" s="169" t="s">
        <v>572</v>
      </c>
      <c r="AE49" s="169" t="s">
        <v>548</v>
      </c>
      <c r="AF49" s="180" t="str">
        <f t="shared" si="4"/>
        <v>GG - GRU CON PIATTAFORMA PORTAPERSONE A BRACCI ARTICOLATI</v>
      </c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73"/>
      <c r="BH49" s="132"/>
      <c r="BI49" s="132"/>
      <c r="BJ49" s="133"/>
      <c r="BK49" s="134"/>
      <c r="BL49" s="134"/>
      <c r="BM49" s="134"/>
      <c r="BN49" s="134"/>
      <c r="BO49" s="134"/>
      <c r="BP49" s="135"/>
      <c r="BQ49" s="135"/>
      <c r="BR49" s="135"/>
      <c r="BS49" s="135"/>
      <c r="BT49" s="135"/>
      <c r="BU49" s="133"/>
      <c r="BV49" s="108"/>
      <c r="BW49" s="108"/>
      <c r="BX49" s="108"/>
      <c r="BY49" s="108"/>
      <c r="BZ49" s="108"/>
      <c r="CA49" s="108"/>
      <c r="CB49" s="118"/>
      <c r="CC49" s="118"/>
      <c r="CD49" s="120"/>
    </row>
    <row r="50" spans="1:82" ht="61.5" customHeight="1" x14ac:dyDescent="0.25">
      <c r="A50" s="120"/>
      <c r="B50" s="120"/>
      <c r="C50" s="120"/>
      <c r="D50" s="120"/>
      <c r="E50" s="120"/>
      <c r="F50" s="170" t="s">
        <v>569</v>
      </c>
      <c r="G50" s="167" t="s">
        <v>283</v>
      </c>
      <c r="H50" s="167" t="s">
        <v>360</v>
      </c>
      <c r="I50" s="167" t="s">
        <v>570</v>
      </c>
      <c r="J50" s="169" t="str">
        <f t="shared" si="6"/>
        <v xml:space="preserve">XW - Macch. Agr. Oper. Semovente a 1 asse </v>
      </c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73"/>
      <c r="V50" s="173"/>
      <c r="W50" s="173"/>
      <c r="X50" s="120"/>
      <c r="Y50" s="120"/>
      <c r="Z50" s="120"/>
      <c r="AA50" s="120"/>
      <c r="AB50" s="120"/>
      <c r="AC50" s="172" t="s">
        <v>575</v>
      </c>
      <c r="AD50" s="169" t="s">
        <v>576</v>
      </c>
      <c r="AE50" s="169" t="s">
        <v>548</v>
      </c>
      <c r="AF50" s="180" t="str">
        <f t="shared" si="4"/>
        <v xml:space="preserve">GS - SOLLEVATORE CON FORCHE </v>
      </c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73"/>
      <c r="BH50" s="132"/>
      <c r="BI50" s="132"/>
      <c r="BJ50" s="133"/>
      <c r="BK50" s="134"/>
      <c r="BL50" s="134"/>
      <c r="BM50" s="134"/>
      <c r="BN50" s="134"/>
      <c r="BO50" s="134"/>
      <c r="BP50" s="135"/>
      <c r="BQ50" s="135"/>
      <c r="BR50" s="135"/>
      <c r="BS50" s="135"/>
      <c r="BT50" s="135"/>
      <c r="BU50" s="133"/>
      <c r="BV50" s="108"/>
      <c r="BW50" s="108"/>
      <c r="BX50" s="108"/>
      <c r="BY50" s="108"/>
      <c r="BZ50" s="108"/>
      <c r="CA50" s="108"/>
      <c r="CB50" s="118"/>
      <c r="CC50" s="118"/>
      <c r="CD50" s="120"/>
    </row>
    <row r="51" spans="1:82" ht="61.5" customHeight="1" x14ac:dyDescent="0.25">
      <c r="A51" s="120"/>
      <c r="B51" s="120"/>
      <c r="C51" s="120"/>
      <c r="D51" s="120"/>
      <c r="E51" s="120"/>
      <c r="F51" s="170" t="s">
        <v>573</v>
      </c>
      <c r="G51" s="167" t="s">
        <v>358</v>
      </c>
      <c r="H51" s="167" t="s">
        <v>360</v>
      </c>
      <c r="I51" s="167" t="s">
        <v>574</v>
      </c>
      <c r="J51" s="169" t="str">
        <f t="shared" si="6"/>
        <v xml:space="preserve">XX - Rimorchio agricolo-cassone </v>
      </c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72" t="s">
        <v>579</v>
      </c>
      <c r="AD51" s="169" t="s">
        <v>580</v>
      </c>
      <c r="AE51" s="169" t="s">
        <v>548</v>
      </c>
      <c r="AF51" s="180" t="str">
        <f t="shared" si="4"/>
        <v>KB - CARICATORE A BENNA</v>
      </c>
      <c r="AG51" s="124"/>
      <c r="AH51" s="124"/>
      <c r="AI51" s="124"/>
      <c r="AJ51" s="124"/>
      <c r="AK51" s="124"/>
      <c r="AL51" s="124"/>
      <c r="AM51" s="124"/>
      <c r="AN51" s="124"/>
      <c r="AO51" s="124"/>
      <c r="AP51" s="120"/>
      <c r="AQ51" s="120"/>
      <c r="AR51" s="120"/>
      <c r="AS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73"/>
      <c r="BH51" s="132"/>
      <c r="BI51" s="132"/>
      <c r="BJ51" s="133"/>
      <c r="BK51" s="134"/>
      <c r="BL51" s="134"/>
      <c r="BM51" s="134"/>
      <c r="BN51" s="134"/>
      <c r="BO51" s="134"/>
      <c r="BP51" s="135"/>
      <c r="BQ51" s="135"/>
      <c r="BR51" s="135"/>
      <c r="BS51" s="135"/>
      <c r="BT51" s="135"/>
      <c r="BU51" s="133"/>
      <c r="BV51" s="108"/>
      <c r="BW51" s="108"/>
      <c r="BX51" s="108"/>
      <c r="BY51" s="108"/>
      <c r="BZ51" s="108"/>
      <c r="CA51" s="108"/>
      <c r="CB51" s="118"/>
      <c r="CC51" s="118"/>
      <c r="CD51" s="120"/>
    </row>
    <row r="52" spans="1:82" ht="61.5" customHeight="1" x14ac:dyDescent="0.25">
      <c r="A52" s="120"/>
      <c r="B52" s="120"/>
      <c r="C52" s="120"/>
      <c r="D52" s="120"/>
      <c r="E52" s="120"/>
      <c r="F52" s="170" t="s">
        <v>577</v>
      </c>
      <c r="G52" s="167" t="s">
        <v>358</v>
      </c>
      <c r="H52" s="167" t="s">
        <v>360</v>
      </c>
      <c r="I52" s="167" t="s">
        <v>578</v>
      </c>
      <c r="J52" s="169" t="str">
        <f t="shared" si="6"/>
        <v xml:space="preserve">XY - Rimorchio agricolo-pianale </v>
      </c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72" t="s">
        <v>583</v>
      </c>
      <c r="AD52" s="169" t="s">
        <v>584</v>
      </c>
      <c r="AE52" s="169" t="s">
        <v>548</v>
      </c>
      <c r="AF52" s="180" t="str">
        <f t="shared" si="4"/>
        <v>KF - ESCAVATORE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0"/>
      <c r="AQ52" s="120"/>
      <c r="AR52" s="120"/>
      <c r="AS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73"/>
      <c r="BH52" s="132"/>
      <c r="BI52" s="132"/>
      <c r="BJ52" s="133"/>
      <c r="BK52" s="134"/>
      <c r="BL52" s="134"/>
      <c r="BM52" s="134"/>
      <c r="BN52" s="134"/>
      <c r="BO52" s="134"/>
      <c r="BP52" s="135"/>
      <c r="BQ52" s="135"/>
      <c r="BR52" s="135"/>
      <c r="BS52" s="135"/>
      <c r="BT52" s="135"/>
      <c r="BU52" s="133"/>
      <c r="BV52" s="108"/>
      <c r="BW52" s="109"/>
      <c r="BX52" s="108"/>
      <c r="BY52" s="108"/>
      <c r="BZ52" s="108"/>
      <c r="CA52" s="108"/>
      <c r="CB52" s="118"/>
      <c r="CC52" s="118"/>
      <c r="CD52" s="120"/>
    </row>
    <row r="53" spans="1:82" ht="61.5" customHeight="1" x14ac:dyDescent="0.25">
      <c r="A53" s="120"/>
      <c r="B53" s="120"/>
      <c r="C53" s="120"/>
      <c r="D53" s="120"/>
      <c r="E53" s="120"/>
      <c r="F53" s="170" t="s">
        <v>581</v>
      </c>
      <c r="G53" s="167" t="s">
        <v>264</v>
      </c>
      <c r="H53" s="167" t="s">
        <v>360</v>
      </c>
      <c r="I53" s="167" t="s">
        <v>582</v>
      </c>
      <c r="J53" s="169" t="str">
        <f t="shared" si="6"/>
        <v xml:space="preserve">XZ - Macchina agricola operatrice trainata  zappatrice </v>
      </c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72" t="s">
        <v>586</v>
      </c>
      <c r="AD53" s="169" t="s">
        <v>587</v>
      </c>
      <c r="AE53" s="169" t="s">
        <v>548</v>
      </c>
      <c r="AF53" s="180" t="str">
        <f t="shared" si="4"/>
        <v>KH - ESCAVATORE MECCANICO</v>
      </c>
      <c r="AG53" s="124"/>
      <c r="AH53" s="124"/>
      <c r="AI53" s="124"/>
      <c r="AJ53" s="124"/>
      <c r="AK53" s="124"/>
      <c r="AL53" s="124"/>
      <c r="AM53" s="124"/>
      <c r="AN53" s="124"/>
      <c r="AO53" s="124"/>
      <c r="AP53" s="120"/>
      <c r="AQ53" s="120"/>
      <c r="AR53" s="120"/>
      <c r="AS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73"/>
      <c r="BH53" s="132"/>
      <c r="BI53" s="132"/>
      <c r="BJ53" s="133"/>
      <c r="BK53" s="134"/>
      <c r="BL53" s="134"/>
      <c r="BM53" s="134"/>
      <c r="BN53" s="134"/>
      <c r="BO53" s="134"/>
      <c r="BP53" s="135"/>
      <c r="BQ53" s="135"/>
      <c r="BR53" s="135"/>
      <c r="BS53" s="135"/>
      <c r="BT53" s="135"/>
      <c r="BU53" s="133"/>
      <c r="BV53" s="108"/>
      <c r="BW53" s="109"/>
      <c r="BX53" s="108"/>
      <c r="BY53" s="108"/>
      <c r="BZ53" s="108"/>
      <c r="CA53" s="108"/>
      <c r="CB53" s="118"/>
      <c r="CC53" s="118"/>
      <c r="CD53" s="120"/>
    </row>
    <row r="54" spans="1:82" ht="61.5" customHeight="1" x14ac:dyDescent="0.25">
      <c r="A54" s="120"/>
      <c r="B54" s="120"/>
      <c r="C54" s="120"/>
      <c r="D54" s="120"/>
      <c r="E54" s="120"/>
      <c r="F54" s="464" t="s">
        <v>585</v>
      </c>
      <c r="G54" s="465"/>
      <c r="H54" s="465"/>
      <c r="I54" s="465"/>
      <c r="J54" s="182" t="str">
        <f>F54</f>
        <v xml:space="preserve">   MACCHINE OPERATRICI:</v>
      </c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72" t="s">
        <v>590</v>
      </c>
      <c r="AD54" s="169" t="s">
        <v>591</v>
      </c>
      <c r="AE54" s="169" t="s">
        <v>548</v>
      </c>
      <c r="AF54" s="180" t="str">
        <f t="shared" si="4"/>
        <v>KI - ESCAVATORE A CUCCHIAIO DIRITTO</v>
      </c>
      <c r="AG54" s="124"/>
      <c r="AH54" s="124"/>
      <c r="AI54" s="124"/>
      <c r="AJ54" s="124"/>
      <c r="AK54" s="124"/>
      <c r="AL54" s="124"/>
      <c r="AM54" s="124"/>
      <c r="AN54" s="124"/>
      <c r="AO54" s="124"/>
      <c r="AP54" s="120"/>
      <c r="AQ54" s="120"/>
      <c r="AR54" s="120"/>
      <c r="AS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73"/>
      <c r="BH54" s="132"/>
      <c r="BI54" s="132"/>
      <c r="BJ54" s="133"/>
      <c r="BK54" s="134"/>
      <c r="BL54" s="134"/>
      <c r="BM54" s="134"/>
      <c r="BN54" s="134"/>
      <c r="BO54" s="134"/>
      <c r="BP54" s="135"/>
      <c r="BQ54" s="135"/>
      <c r="BR54" s="135"/>
      <c r="BS54" s="135"/>
      <c r="BT54" s="135"/>
      <c r="BU54" s="133"/>
      <c r="BV54" s="108"/>
      <c r="BW54" s="108"/>
      <c r="BX54" s="108"/>
      <c r="BY54" s="108"/>
      <c r="BZ54" s="108"/>
      <c r="CA54" s="108"/>
      <c r="CB54" s="118"/>
      <c r="CC54" s="118"/>
      <c r="CD54" s="120"/>
    </row>
    <row r="55" spans="1:82" ht="61.5" customHeight="1" x14ac:dyDescent="0.25">
      <c r="A55" s="120"/>
      <c r="B55" s="120"/>
      <c r="C55" s="120"/>
      <c r="D55" s="120"/>
      <c r="E55" s="120"/>
      <c r="F55" s="172" t="s">
        <v>588</v>
      </c>
      <c r="G55" s="169" t="s">
        <v>283</v>
      </c>
      <c r="H55" s="169" t="s">
        <v>360</v>
      </c>
      <c r="I55" s="169" t="s">
        <v>589</v>
      </c>
      <c r="J55" s="169" t="str">
        <f t="shared" ref="J55:J68" si="9">F55&amp;" - "&amp;I55</f>
        <v xml:space="preserve">1A - Macchina operatrice semovente a telaio  articolato (s/capac. Di carico). </v>
      </c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72" t="s">
        <v>594</v>
      </c>
      <c r="AD55" s="169" t="s">
        <v>595</v>
      </c>
      <c r="AE55" s="169" t="s">
        <v>548</v>
      </c>
      <c r="AF55" s="180" t="str">
        <f t="shared" si="4"/>
        <v>KL - ESCAVATORE A CUCCHIAIO ROVESCIO</v>
      </c>
      <c r="AG55" s="124"/>
      <c r="AH55" s="124"/>
      <c r="AI55" s="124"/>
      <c r="AJ55" s="124"/>
      <c r="AK55" s="124"/>
      <c r="AL55" s="124"/>
      <c r="AM55" s="124"/>
      <c r="AN55" s="124"/>
      <c r="AO55" s="124"/>
      <c r="AP55" s="120"/>
      <c r="AQ55" s="120"/>
      <c r="AR55" s="120"/>
      <c r="AS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73"/>
      <c r="BH55" s="132"/>
      <c r="BI55" s="132"/>
      <c r="BJ55" s="133"/>
      <c r="BK55" s="134"/>
      <c r="BL55" s="134"/>
      <c r="BM55" s="134"/>
      <c r="BN55" s="134"/>
      <c r="BO55" s="134"/>
      <c r="BP55" s="135"/>
      <c r="BQ55" s="135"/>
      <c r="BR55" s="135"/>
      <c r="BS55" s="135"/>
      <c r="BT55" s="135"/>
      <c r="BU55" s="133"/>
      <c r="BV55" s="116"/>
      <c r="BW55" s="108"/>
      <c r="BX55" s="108"/>
      <c r="BY55" s="108"/>
      <c r="BZ55" s="108"/>
      <c r="CA55" s="108"/>
      <c r="CB55" s="118"/>
      <c r="CC55" s="118"/>
      <c r="CD55" s="120"/>
    </row>
    <row r="56" spans="1:82" ht="61.5" customHeight="1" x14ac:dyDescent="0.25">
      <c r="A56" s="120"/>
      <c r="B56" s="120"/>
      <c r="C56" s="120"/>
      <c r="D56" s="120"/>
      <c r="E56" s="120"/>
      <c r="F56" s="172" t="s">
        <v>592</v>
      </c>
      <c r="G56" s="169" t="s">
        <v>283</v>
      </c>
      <c r="H56" s="169" t="s">
        <v>360</v>
      </c>
      <c r="I56" s="169" t="s">
        <v>593</v>
      </c>
      <c r="J56" s="169" t="str">
        <f t="shared" si="9"/>
        <v xml:space="preserve">1C - Carrello semovente (senza capacita' di carico). </v>
      </c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72" t="s">
        <v>598</v>
      </c>
      <c r="AD56" s="169" t="s">
        <v>599</v>
      </c>
      <c r="AE56" s="169" t="s">
        <v>548</v>
      </c>
      <c r="AF56" s="180" t="str">
        <f t="shared" ref="AF56:AF87" si="10">AC56&amp;" - "&amp;AD56</f>
        <v>KM - ESCAVATORE LATERALE FUORI FILO RUOTE</v>
      </c>
      <c r="AG56" s="124"/>
      <c r="AH56" s="124"/>
      <c r="AI56" s="124"/>
      <c r="AJ56" s="124"/>
      <c r="AK56" s="124"/>
      <c r="AL56" s="124"/>
      <c r="AM56" s="124"/>
      <c r="AN56" s="124"/>
      <c r="AO56" s="124"/>
      <c r="AP56" s="120"/>
      <c r="AQ56" s="120"/>
      <c r="AR56" s="120"/>
      <c r="AS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73"/>
      <c r="BH56" s="132"/>
      <c r="BI56" s="132"/>
      <c r="BJ56" s="133"/>
      <c r="BK56" s="134"/>
      <c r="BL56" s="134"/>
      <c r="BM56" s="134"/>
      <c r="BN56" s="134"/>
      <c r="BO56" s="134"/>
      <c r="BP56" s="135"/>
      <c r="BQ56" s="135"/>
      <c r="BR56" s="135"/>
      <c r="BS56" s="135"/>
      <c r="BT56" s="135"/>
      <c r="BU56" s="133"/>
      <c r="BV56" s="108"/>
      <c r="BW56" s="108"/>
      <c r="BX56" s="108"/>
      <c r="BY56" s="108"/>
      <c r="BZ56" s="108"/>
      <c r="CA56" s="108"/>
      <c r="CB56" s="118"/>
      <c r="CC56" s="118"/>
      <c r="CD56" s="120"/>
    </row>
    <row r="57" spans="1:82" ht="61.5" customHeight="1" x14ac:dyDescent="0.25">
      <c r="A57" s="120"/>
      <c r="B57" s="120"/>
      <c r="C57" s="120"/>
      <c r="D57" s="120"/>
      <c r="E57" s="120"/>
      <c r="F57" s="172" t="s">
        <v>596</v>
      </c>
      <c r="G57" s="169" t="s">
        <v>283</v>
      </c>
      <c r="H57" s="169" t="s">
        <v>265</v>
      </c>
      <c r="I57" s="169" t="s">
        <v>597</v>
      </c>
      <c r="J57" s="169" t="str">
        <f t="shared" si="9"/>
        <v xml:space="preserve">1E - M.o. semovente (s/capac. Carico)eccedente i limiti art.32 e/o art.33. </v>
      </c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72" t="s">
        <v>601</v>
      </c>
      <c r="AD57" s="169" t="s">
        <v>602</v>
      </c>
      <c r="AE57" s="169" t="s">
        <v>548</v>
      </c>
      <c r="AF57" s="180" t="str">
        <f t="shared" si="10"/>
        <v>KN - ESCAVATORE A PERCUSSIONE</v>
      </c>
      <c r="AG57" s="124"/>
      <c r="AH57" s="124"/>
      <c r="AI57" s="124"/>
      <c r="AJ57" s="124"/>
      <c r="AK57" s="124"/>
      <c r="AL57" s="124"/>
      <c r="AM57" s="124"/>
      <c r="AN57" s="124"/>
      <c r="AO57" s="124"/>
      <c r="AP57" s="120"/>
      <c r="AQ57" s="120"/>
      <c r="AR57" s="120"/>
      <c r="AS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73"/>
      <c r="BH57" s="132"/>
      <c r="BI57" s="132"/>
      <c r="BJ57" s="133"/>
      <c r="BK57" s="134"/>
      <c r="BL57" s="134"/>
      <c r="BM57" s="134"/>
      <c r="BN57" s="134"/>
      <c r="BO57" s="134"/>
      <c r="BP57" s="135"/>
      <c r="BQ57" s="135"/>
      <c r="BR57" s="135"/>
      <c r="BS57" s="135"/>
      <c r="BT57" s="135"/>
      <c r="BU57" s="133"/>
      <c r="BV57" s="108"/>
      <c r="BW57" s="108"/>
      <c r="BX57" s="108"/>
      <c r="BY57" s="108"/>
      <c r="BZ57" s="108"/>
      <c r="CA57" s="108"/>
      <c r="CB57" s="118"/>
      <c r="CC57" s="118"/>
      <c r="CD57" s="120"/>
    </row>
    <row r="58" spans="1:82" ht="61.5" customHeight="1" x14ac:dyDescent="0.25">
      <c r="A58" s="120"/>
      <c r="B58" s="120"/>
      <c r="C58" s="120"/>
      <c r="D58" s="120"/>
      <c r="E58" s="120"/>
      <c r="F58" s="172" t="s">
        <v>600</v>
      </c>
      <c r="G58" s="169" t="s">
        <v>283</v>
      </c>
      <c r="H58" s="169" t="s">
        <v>265</v>
      </c>
      <c r="I58" s="169" t="s">
        <v>589</v>
      </c>
      <c r="J58" s="169" t="str">
        <f t="shared" si="9"/>
        <v xml:space="preserve">1F - Macchina operatrice semovente a telaio  articolato (s/capac. Di carico). </v>
      </c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72" t="s">
        <v>605</v>
      </c>
      <c r="AD58" s="169" t="s">
        <v>606</v>
      </c>
      <c r="AE58" s="169" t="s">
        <v>548</v>
      </c>
      <c r="AF58" s="180" t="str">
        <f t="shared" si="10"/>
        <v xml:space="preserve">KP - TERNA;APRIPISTA-SOLLEVATORE POSTERIORE </v>
      </c>
      <c r="AG58" s="124"/>
      <c r="AH58" s="124"/>
      <c r="AI58" s="124"/>
      <c r="AJ58" s="124"/>
      <c r="AK58" s="124"/>
      <c r="AL58" s="124"/>
      <c r="AM58" s="124"/>
      <c r="AN58" s="124"/>
      <c r="AO58" s="124"/>
      <c r="AP58" s="120"/>
      <c r="AQ58" s="120"/>
      <c r="AR58" s="120"/>
      <c r="AS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73"/>
      <c r="BH58" s="132"/>
      <c r="BI58" s="132"/>
      <c r="BJ58" s="133"/>
      <c r="BK58" s="134"/>
      <c r="BL58" s="134"/>
      <c r="BM58" s="134"/>
      <c r="BN58" s="134"/>
      <c r="BO58" s="134"/>
      <c r="BP58" s="135"/>
      <c r="BQ58" s="135"/>
      <c r="BR58" s="135"/>
      <c r="BS58" s="135"/>
      <c r="BT58" s="135"/>
      <c r="BU58" s="133"/>
      <c r="BV58" s="108"/>
      <c r="BW58" s="108"/>
      <c r="BX58" s="108"/>
      <c r="BY58" s="108"/>
      <c r="BZ58" s="108"/>
      <c r="CA58" s="108"/>
      <c r="CB58" s="118"/>
      <c r="CC58" s="118"/>
      <c r="CD58" s="120"/>
    </row>
    <row r="59" spans="1:82" ht="61.5" customHeight="1" x14ac:dyDescent="0.25">
      <c r="A59" s="120"/>
      <c r="B59" s="120"/>
      <c r="C59" s="120"/>
      <c r="D59" s="120"/>
      <c r="E59" s="120"/>
      <c r="F59" s="172" t="s">
        <v>603</v>
      </c>
      <c r="G59" s="169" t="s">
        <v>283</v>
      </c>
      <c r="H59" s="169" t="s">
        <v>360</v>
      </c>
      <c r="I59" s="169" t="s">
        <v>604</v>
      </c>
      <c r="J59" s="169" t="str">
        <f t="shared" si="9"/>
        <v xml:space="preserve">1S - Macchina operatrice semovente (senza capacita' di carico). </v>
      </c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72" t="s">
        <v>609</v>
      </c>
      <c r="AD59" s="169" t="s">
        <v>610</v>
      </c>
      <c r="AE59" s="169" t="s">
        <v>548</v>
      </c>
      <c r="AF59" s="180" t="str">
        <f t="shared" si="10"/>
        <v>KT - TERNA: CARICATORE-ESCAVATORE POSTERIORE</v>
      </c>
      <c r="AG59" s="124"/>
      <c r="AH59" s="124"/>
      <c r="AI59" s="124"/>
      <c r="AJ59" s="124"/>
      <c r="AK59" s="124"/>
      <c r="AL59" s="124"/>
      <c r="AM59" s="124"/>
      <c r="AN59" s="124"/>
      <c r="AO59" s="124"/>
      <c r="AP59" s="120"/>
      <c r="AQ59" s="120"/>
      <c r="AR59" s="120"/>
      <c r="AS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73"/>
      <c r="BH59" s="132"/>
      <c r="BI59" s="132"/>
      <c r="BJ59" s="133"/>
      <c r="BK59" s="134"/>
      <c r="BL59" s="134"/>
      <c r="BM59" s="134"/>
      <c r="BN59" s="134"/>
      <c r="BO59" s="134"/>
      <c r="BP59" s="135"/>
      <c r="BQ59" s="135"/>
      <c r="BR59" s="135"/>
      <c r="BS59" s="135"/>
      <c r="BT59" s="135"/>
      <c r="BU59" s="133"/>
      <c r="BV59" s="108"/>
      <c r="BW59" s="108"/>
      <c r="BX59" s="108"/>
      <c r="BY59" s="108"/>
      <c r="BZ59" s="108"/>
      <c r="CA59" s="108"/>
      <c r="CB59" s="118"/>
      <c r="CC59" s="118"/>
      <c r="CD59" s="120"/>
    </row>
    <row r="60" spans="1:82" ht="69" customHeight="1" x14ac:dyDescent="0.25">
      <c r="A60" s="120"/>
      <c r="B60" s="120"/>
      <c r="C60" s="120"/>
      <c r="D60" s="120"/>
      <c r="E60" s="120"/>
      <c r="F60" s="172" t="s">
        <v>607</v>
      </c>
      <c r="G60" s="169" t="s">
        <v>264</v>
      </c>
      <c r="H60" s="169" t="s">
        <v>360</v>
      </c>
      <c r="I60" s="169" t="s">
        <v>608</v>
      </c>
      <c r="J60" s="169" t="str">
        <f t="shared" si="9"/>
        <v xml:space="preserve">1T - Macchina operatrice trainata (senza capacita' di carico). </v>
      </c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72" t="s">
        <v>613</v>
      </c>
      <c r="AD60" s="169" t="s">
        <v>614</v>
      </c>
      <c r="AE60" s="169" t="s">
        <v>548</v>
      </c>
      <c r="AF60" s="180" t="str">
        <f t="shared" si="10"/>
        <v>KV - TERNA: CARICATORE-ESCAVATORE POST. A CUCCHIAIA ROVESCIA</v>
      </c>
      <c r="AG60" s="124"/>
      <c r="AH60" s="124"/>
      <c r="AI60" s="124"/>
      <c r="AJ60" s="124"/>
      <c r="AK60" s="124"/>
      <c r="AL60" s="124"/>
      <c r="AM60" s="124"/>
      <c r="AN60" s="124"/>
      <c r="AO60" s="124"/>
      <c r="AP60" s="120"/>
      <c r="AQ60" s="120"/>
      <c r="AR60" s="120"/>
      <c r="AS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73"/>
      <c r="BH60" s="132"/>
      <c r="BI60" s="132"/>
      <c r="BJ60" s="133"/>
      <c r="BK60" s="134"/>
      <c r="BL60" s="134"/>
      <c r="BM60" s="134"/>
      <c r="BN60" s="134"/>
      <c r="BO60" s="134"/>
      <c r="BP60" s="135"/>
      <c r="BQ60" s="135"/>
      <c r="BR60" s="135"/>
      <c r="BS60" s="135"/>
      <c r="BT60" s="135"/>
      <c r="BU60" s="133"/>
      <c r="BV60" s="108"/>
      <c r="BW60" s="108"/>
      <c r="BX60" s="108"/>
      <c r="BY60" s="108"/>
      <c r="BZ60" s="108"/>
      <c r="CA60" s="108"/>
      <c r="CB60" s="118"/>
      <c r="CC60" s="118"/>
      <c r="CD60" s="120"/>
    </row>
    <row r="61" spans="1:82" ht="61.5" customHeight="1" x14ac:dyDescent="0.25">
      <c r="A61" s="120"/>
      <c r="B61" s="120"/>
      <c r="C61" s="120"/>
      <c r="D61" s="120"/>
      <c r="E61" s="120"/>
      <c r="F61" s="172" t="s">
        <v>611</v>
      </c>
      <c r="G61" s="169" t="s">
        <v>264</v>
      </c>
      <c r="H61" s="169" t="s">
        <v>265</v>
      </c>
      <c r="I61" s="169" t="s">
        <v>612</v>
      </c>
      <c r="J61" s="169" t="str">
        <f t="shared" si="9"/>
        <v xml:space="preserve">1Z - M.o. trainata (s/capac. Carico)eccedente i limiti art.32 e/o art.33. </v>
      </c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72" t="s">
        <v>617</v>
      </c>
      <c r="AD61" s="169" t="s">
        <v>618</v>
      </c>
      <c r="AE61" s="169" t="s">
        <v>548</v>
      </c>
      <c r="AF61" s="180" t="str">
        <f t="shared" si="10"/>
        <v>KX - TERNA: CARICATORE-APRIPISTA</v>
      </c>
      <c r="AG61" s="124"/>
      <c r="AH61" s="124"/>
      <c r="AI61" s="124"/>
      <c r="AJ61" s="124"/>
      <c r="AK61" s="124"/>
      <c r="AL61" s="124"/>
      <c r="AM61" s="124"/>
      <c r="AN61" s="124"/>
      <c r="AO61" s="124"/>
      <c r="AP61" s="120"/>
      <c r="AQ61" s="120"/>
      <c r="AR61" s="120"/>
      <c r="AS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73"/>
      <c r="BH61" s="132"/>
      <c r="BI61" s="132"/>
      <c r="BJ61" s="133"/>
      <c r="BK61" s="134"/>
      <c r="BL61" s="134"/>
      <c r="BM61" s="134"/>
      <c r="BN61" s="134"/>
      <c r="BO61" s="134"/>
      <c r="BP61" s="135"/>
      <c r="BQ61" s="135"/>
      <c r="BR61" s="135"/>
      <c r="BS61" s="135"/>
      <c r="BT61" s="135"/>
      <c r="BU61" s="133"/>
      <c r="BV61" s="108"/>
      <c r="BW61" s="108"/>
      <c r="BX61" s="108"/>
      <c r="BY61" s="108"/>
      <c r="BZ61" s="108"/>
      <c r="CA61" s="108"/>
      <c r="CB61" s="118"/>
      <c r="CC61" s="118"/>
      <c r="CD61" s="120"/>
    </row>
    <row r="62" spans="1:82" ht="61.5" customHeight="1" x14ac:dyDescent="0.25">
      <c r="A62" s="120"/>
      <c r="B62" s="120"/>
      <c r="C62" s="120"/>
      <c r="D62" s="120"/>
      <c r="E62" s="120"/>
      <c r="F62" s="172" t="s">
        <v>615</v>
      </c>
      <c r="G62" s="169" t="s">
        <v>283</v>
      </c>
      <c r="H62" s="169" t="s">
        <v>360</v>
      </c>
      <c r="I62" s="169" t="s">
        <v>616</v>
      </c>
      <c r="J62" s="169" t="str">
        <f t="shared" si="9"/>
        <v xml:space="preserve">2A - Macchina operatrice semovente a telaio  articolato (c/capac. Di carico). </v>
      </c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72" t="s">
        <v>621</v>
      </c>
      <c r="AD62" s="169" t="s">
        <v>622</v>
      </c>
      <c r="AE62" s="169" t="s">
        <v>548</v>
      </c>
      <c r="AF62" s="180" t="str">
        <f t="shared" si="10"/>
        <v>KY - TERNA: APRIPISTA-ESCAVATORE POSTERIORE</v>
      </c>
      <c r="AG62" s="124"/>
      <c r="AH62" s="124"/>
      <c r="AI62" s="124"/>
      <c r="AJ62" s="124"/>
      <c r="AK62" s="124"/>
      <c r="AL62" s="124"/>
      <c r="AM62" s="124"/>
      <c r="AN62" s="124"/>
      <c r="AO62" s="124"/>
      <c r="AP62" s="120"/>
      <c r="AQ62" s="120"/>
      <c r="AR62" s="120"/>
      <c r="AS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73"/>
      <c r="BH62" s="132"/>
      <c r="BI62" s="132"/>
      <c r="BJ62" s="133"/>
      <c r="BK62" s="134"/>
      <c r="BL62" s="134"/>
      <c r="BM62" s="134"/>
      <c r="BN62" s="134"/>
      <c r="BO62" s="134"/>
      <c r="BP62" s="135"/>
      <c r="BQ62" s="135"/>
      <c r="BR62" s="135"/>
      <c r="BS62" s="135"/>
      <c r="BT62" s="135"/>
      <c r="BU62" s="133"/>
      <c r="BV62" s="108"/>
      <c r="BW62" s="108"/>
      <c r="BX62" s="108"/>
      <c r="BY62" s="108"/>
      <c r="BZ62" s="108"/>
      <c r="CA62" s="108"/>
      <c r="CB62" s="118"/>
      <c r="CC62" s="416"/>
      <c r="CD62" s="120"/>
    </row>
    <row r="63" spans="1:82" ht="61.5" customHeight="1" x14ac:dyDescent="0.25">
      <c r="A63" s="120"/>
      <c r="B63" s="120"/>
      <c r="C63" s="120"/>
      <c r="D63" s="120"/>
      <c r="E63" s="120"/>
      <c r="F63" s="172" t="s">
        <v>619</v>
      </c>
      <c r="G63" s="169" t="s">
        <v>283</v>
      </c>
      <c r="H63" s="169" t="s">
        <v>360</v>
      </c>
      <c r="I63" s="169" t="s">
        <v>620</v>
      </c>
      <c r="J63" s="169" t="str">
        <f t="shared" si="9"/>
        <v xml:space="preserve">2C - Carrello semovente (con capacita' di carico). </v>
      </c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72" t="s">
        <v>625</v>
      </c>
      <c r="AD63" s="169" t="s">
        <v>626</v>
      </c>
      <c r="AE63" s="169" t="s">
        <v>548</v>
      </c>
      <c r="AF63" s="180" t="str">
        <f t="shared" si="10"/>
        <v>KZ - TERNA: APRIPISTA-ESCAVATORE POST. A CUCCHIAIA ROVESCIA</v>
      </c>
      <c r="AG63" s="124"/>
      <c r="AH63" s="124"/>
      <c r="AI63" s="124"/>
      <c r="AJ63" s="124"/>
      <c r="AK63" s="124"/>
      <c r="AL63" s="124"/>
      <c r="AM63" s="124"/>
      <c r="AN63" s="124"/>
      <c r="AO63" s="124"/>
      <c r="AP63" s="120"/>
      <c r="AQ63" s="120"/>
      <c r="AR63" s="120"/>
      <c r="AS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73"/>
      <c r="BH63" s="132"/>
      <c r="BI63" s="132"/>
      <c r="BJ63" s="133"/>
      <c r="BK63" s="134"/>
      <c r="BL63" s="134"/>
      <c r="BM63" s="134"/>
      <c r="BN63" s="134"/>
      <c r="BO63" s="134"/>
      <c r="BP63" s="135"/>
      <c r="BQ63" s="135"/>
      <c r="BR63" s="135"/>
      <c r="BS63" s="135"/>
      <c r="BT63" s="135"/>
      <c r="BU63" s="133"/>
      <c r="BV63" s="108"/>
      <c r="BW63" s="108"/>
      <c r="BX63" s="108"/>
      <c r="BY63" s="108"/>
      <c r="BZ63" s="108"/>
      <c r="CA63" s="108"/>
      <c r="CB63" s="118"/>
      <c r="CC63" s="118"/>
      <c r="CD63" s="120"/>
    </row>
    <row r="64" spans="1:82" ht="61.5" customHeight="1" x14ac:dyDescent="0.25">
      <c r="A64" s="120"/>
      <c r="B64" s="120"/>
      <c r="C64" s="120"/>
      <c r="D64" s="120"/>
      <c r="E64" s="120"/>
      <c r="F64" s="172" t="s">
        <v>623</v>
      </c>
      <c r="G64" s="169" t="s">
        <v>283</v>
      </c>
      <c r="H64" s="169" t="s">
        <v>265</v>
      </c>
      <c r="I64" s="169" t="s">
        <v>624</v>
      </c>
      <c r="J64" s="169" t="str">
        <f t="shared" si="9"/>
        <v xml:space="preserve">2E - M.o. semovente (c/capac. Carico)eccedente i limiti art.32 e/o 33 </v>
      </c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72" t="s">
        <v>628</v>
      </c>
      <c r="AD64" s="169" t="s">
        <v>629</v>
      </c>
      <c r="AE64" s="169"/>
      <c r="AF64" s="180" t="str">
        <f t="shared" si="10"/>
        <v>LA - LIVELLATRICE</v>
      </c>
      <c r="AG64" s="124"/>
      <c r="AH64" s="124"/>
      <c r="AI64" s="124"/>
      <c r="AJ64" s="124"/>
      <c r="AK64" s="124"/>
      <c r="AL64" s="124"/>
      <c r="AM64" s="124"/>
      <c r="AN64" s="124"/>
      <c r="AO64" s="124"/>
      <c r="AP64" s="120"/>
      <c r="AQ64" s="120"/>
      <c r="AR64" s="120"/>
      <c r="AS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73"/>
      <c r="BH64" s="132"/>
      <c r="BI64" s="132"/>
      <c r="BJ64" s="133"/>
      <c r="BK64" s="134"/>
      <c r="BL64" s="134"/>
      <c r="BM64" s="134"/>
      <c r="BN64" s="134"/>
      <c r="BO64" s="134"/>
      <c r="BP64" s="135"/>
      <c r="BQ64" s="135"/>
      <c r="BR64" s="135"/>
      <c r="BS64" s="135"/>
      <c r="BT64" s="135"/>
      <c r="BU64" s="133"/>
      <c r="BV64" s="108"/>
      <c r="BW64" s="108"/>
      <c r="BX64" s="108"/>
      <c r="BY64" s="108"/>
      <c r="BZ64" s="108"/>
      <c r="CA64" s="108"/>
      <c r="CB64" s="118"/>
      <c r="CC64" s="118"/>
      <c r="CD64" s="120"/>
    </row>
    <row r="65" spans="1:82" ht="61.5" customHeight="1" x14ac:dyDescent="0.25">
      <c r="A65" s="120"/>
      <c r="B65" s="120"/>
      <c r="C65" s="120"/>
      <c r="D65" s="120"/>
      <c r="E65" s="120"/>
      <c r="F65" s="172" t="s">
        <v>627</v>
      </c>
      <c r="G65" s="169" t="s">
        <v>283</v>
      </c>
      <c r="H65" s="169" t="s">
        <v>265</v>
      </c>
      <c r="I65" s="169" t="s">
        <v>616</v>
      </c>
      <c r="J65" s="169" t="str">
        <f t="shared" si="9"/>
        <v xml:space="preserve">2F - Macchina operatrice semovente a telaio  articolato (c/capac. Di carico). </v>
      </c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72" t="s">
        <v>632</v>
      </c>
      <c r="AD65" s="169" t="s">
        <v>633</v>
      </c>
      <c r="AE65" s="169"/>
      <c r="AF65" s="180" t="str">
        <f t="shared" si="10"/>
        <v>LB - LIVELLATRICE MECCANICA</v>
      </c>
      <c r="AG65" s="124"/>
      <c r="AH65" s="124"/>
      <c r="AI65" s="124"/>
      <c r="AJ65" s="124"/>
      <c r="AK65" s="124"/>
      <c r="AL65" s="124"/>
      <c r="AM65" s="124"/>
      <c r="AN65" s="124"/>
      <c r="AO65" s="124"/>
      <c r="AP65" s="120"/>
      <c r="AQ65" s="120"/>
      <c r="AR65" s="120"/>
      <c r="AS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73"/>
      <c r="BH65" s="132"/>
      <c r="BI65" s="132"/>
      <c r="BJ65" s="133"/>
      <c r="BK65" s="134"/>
      <c r="BL65" s="134"/>
      <c r="BM65" s="134"/>
      <c r="BN65" s="134"/>
      <c r="BO65" s="134"/>
      <c r="BP65" s="135"/>
      <c r="BQ65" s="135"/>
      <c r="BR65" s="135"/>
      <c r="BS65" s="135"/>
      <c r="BT65" s="135"/>
      <c r="BU65" s="133"/>
      <c r="BV65" s="108"/>
      <c r="BW65" s="108"/>
      <c r="BX65" s="108"/>
      <c r="BY65" s="108"/>
      <c r="BZ65" s="108"/>
      <c r="CA65" s="108"/>
      <c r="CB65" s="118"/>
      <c r="CC65" s="118"/>
      <c r="CD65" s="120"/>
    </row>
    <row r="66" spans="1:82" ht="61.5" customHeight="1" x14ac:dyDescent="0.25">
      <c r="A66" s="120"/>
      <c r="B66" s="120"/>
      <c r="C66" s="120"/>
      <c r="D66" s="120"/>
      <c r="E66" s="120"/>
      <c r="F66" s="172" t="s">
        <v>630</v>
      </c>
      <c r="G66" s="169" t="s">
        <v>283</v>
      </c>
      <c r="H66" s="169" t="s">
        <v>360</v>
      </c>
      <c r="I66" s="169" t="s">
        <v>631</v>
      </c>
      <c r="J66" s="169" t="str">
        <f t="shared" si="9"/>
        <v xml:space="preserve">2S - Macchina operatrice semovente (con capacita' di carico). </v>
      </c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72" t="s">
        <v>636</v>
      </c>
      <c r="AD66" s="169" t="s">
        <v>637</v>
      </c>
      <c r="AE66" s="169"/>
      <c r="AF66" s="180" t="str">
        <f t="shared" si="10"/>
        <v>LC - LIVELLATRICE IDRAULICA</v>
      </c>
      <c r="AG66" s="124"/>
      <c r="AH66" s="124"/>
      <c r="AI66" s="124"/>
      <c r="AJ66" s="124"/>
      <c r="AK66" s="124"/>
      <c r="AL66" s="124"/>
      <c r="AM66" s="124"/>
      <c r="AN66" s="124"/>
      <c r="AO66" s="124"/>
      <c r="AP66" s="120"/>
      <c r="AQ66" s="120"/>
      <c r="AR66" s="120"/>
      <c r="AS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73"/>
      <c r="BH66" s="132"/>
      <c r="BI66" s="132"/>
      <c r="BJ66" s="133"/>
      <c r="BK66" s="134"/>
      <c r="BL66" s="134"/>
      <c r="BM66" s="134"/>
      <c r="BN66" s="134"/>
      <c r="BO66" s="134"/>
      <c r="BP66" s="135"/>
      <c r="BQ66" s="135"/>
      <c r="BR66" s="135"/>
      <c r="BS66" s="135"/>
      <c r="BT66" s="135"/>
      <c r="BU66" s="133"/>
      <c r="BV66" s="108"/>
      <c r="BW66" s="108"/>
      <c r="BX66" s="108"/>
      <c r="BY66" s="108"/>
      <c r="BZ66" s="108"/>
      <c r="CA66" s="108"/>
      <c r="CB66" s="118"/>
      <c r="CC66" s="118"/>
      <c r="CD66" s="120"/>
    </row>
    <row r="67" spans="1:82" ht="61.5" customHeight="1" x14ac:dyDescent="0.25">
      <c r="A67" s="120"/>
      <c r="B67" s="120"/>
      <c r="C67" s="120"/>
      <c r="D67" s="120"/>
      <c r="E67" s="120"/>
      <c r="F67" s="172" t="s">
        <v>634</v>
      </c>
      <c r="G67" s="169" t="s">
        <v>264</v>
      </c>
      <c r="H67" s="169" t="s">
        <v>360</v>
      </c>
      <c r="I67" s="169" t="s">
        <v>635</v>
      </c>
      <c r="J67" s="169" t="str">
        <f t="shared" si="9"/>
        <v xml:space="preserve">2T - Macchina operatrice trainata (con capacita' di carico). </v>
      </c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72" t="s">
        <v>640</v>
      </c>
      <c r="AD67" s="169" t="s">
        <v>641</v>
      </c>
      <c r="AE67" s="169"/>
      <c r="AF67" s="180" t="str">
        <f t="shared" si="10"/>
        <v>MA - SPAZZATRICE</v>
      </c>
      <c r="AG67" s="124"/>
      <c r="AH67" s="124"/>
      <c r="AI67" s="124"/>
      <c r="AJ67" s="124"/>
      <c r="AK67" s="124"/>
      <c r="AL67" s="124"/>
      <c r="AM67" s="124"/>
      <c r="AN67" s="124"/>
      <c r="AO67" s="124"/>
      <c r="AP67" s="120"/>
      <c r="AQ67" s="120"/>
      <c r="AR67" s="120"/>
      <c r="AS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73"/>
      <c r="BH67" s="132"/>
      <c r="BI67" s="132"/>
      <c r="BJ67" s="133"/>
      <c r="BK67" s="134"/>
      <c r="BL67" s="134"/>
      <c r="BM67" s="134"/>
      <c r="BN67" s="134"/>
      <c r="BO67" s="134"/>
      <c r="BP67" s="135"/>
      <c r="BQ67" s="135"/>
      <c r="BR67" s="135"/>
      <c r="BS67" s="135"/>
      <c r="BT67" s="135"/>
      <c r="BU67" s="133"/>
      <c r="BV67" s="108"/>
      <c r="BW67" s="108"/>
      <c r="BX67" s="108"/>
      <c r="BY67" s="108"/>
      <c r="BZ67" s="108"/>
      <c r="CA67" s="108"/>
      <c r="CB67" s="118"/>
      <c r="CC67" s="118"/>
      <c r="CD67" s="120"/>
    </row>
    <row r="68" spans="1:82" ht="61.5" customHeight="1" x14ac:dyDescent="0.25">
      <c r="A68" s="120"/>
      <c r="B68" s="120"/>
      <c r="C68" s="120"/>
      <c r="D68" s="120"/>
      <c r="E68" s="120"/>
      <c r="F68" s="172" t="s">
        <v>638</v>
      </c>
      <c r="G68" s="169" t="s">
        <v>264</v>
      </c>
      <c r="H68" s="169" t="s">
        <v>265</v>
      </c>
      <c r="I68" s="169" t="s">
        <v>639</v>
      </c>
      <c r="J68" s="169" t="str">
        <f t="shared" si="9"/>
        <v xml:space="preserve">2Z - M.o. trainata (c/capac. Carico)eccedente i limiti art.32 e/o 33. </v>
      </c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72" t="s">
        <v>642</v>
      </c>
      <c r="AD68" s="169" t="s">
        <v>643</v>
      </c>
      <c r="AE68" s="169"/>
      <c r="AF68" s="180" t="str">
        <f t="shared" si="10"/>
        <v>MB - INNAFFIATRICE</v>
      </c>
      <c r="AG68" s="124"/>
      <c r="AH68" s="124"/>
      <c r="AI68" s="124"/>
      <c r="AJ68" s="124"/>
      <c r="AK68" s="124"/>
      <c r="AL68" s="124"/>
      <c r="AM68" s="124"/>
      <c r="AN68" s="124"/>
      <c r="AO68" s="124"/>
      <c r="AP68" s="120"/>
      <c r="AQ68" s="120"/>
      <c r="AR68" s="120"/>
      <c r="AS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73"/>
      <c r="BH68" s="132"/>
      <c r="BI68" s="132"/>
      <c r="BJ68" s="133"/>
      <c r="BK68" s="134"/>
      <c r="BL68" s="134"/>
      <c r="BM68" s="134"/>
      <c r="BN68" s="134"/>
      <c r="BO68" s="134"/>
      <c r="BP68" s="135"/>
      <c r="BQ68" s="135"/>
      <c r="BR68" s="135"/>
      <c r="BS68" s="135"/>
      <c r="BT68" s="135"/>
      <c r="BU68" s="133"/>
      <c r="BV68" s="108"/>
      <c r="BW68" s="108"/>
      <c r="BX68" s="108"/>
      <c r="BY68" s="108"/>
      <c r="BZ68" s="108"/>
      <c r="CA68" s="108"/>
      <c r="CB68" s="118"/>
      <c r="CC68" s="118"/>
      <c r="CD68" s="120"/>
    </row>
    <row r="69" spans="1:82" ht="69" customHeight="1" x14ac:dyDescent="0.25">
      <c r="A69" s="120"/>
      <c r="B69" s="120"/>
      <c r="C69" s="120"/>
      <c r="D69" s="120"/>
      <c r="E69" s="120"/>
      <c r="F69" s="120"/>
      <c r="G69" s="120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72" t="s">
        <v>644</v>
      </c>
      <c r="AD69" s="169" t="s">
        <v>645</v>
      </c>
      <c r="AE69" s="169"/>
      <c r="AF69" s="180" t="str">
        <f t="shared" si="10"/>
        <v>MC - LAVASTRADE</v>
      </c>
      <c r="AG69" s="124"/>
      <c r="AH69" s="124"/>
      <c r="AI69" s="124"/>
      <c r="AJ69" s="124"/>
      <c r="AK69" s="124"/>
      <c r="AL69" s="124"/>
      <c r="AM69" s="124"/>
      <c r="AN69" s="124"/>
      <c r="AO69" s="124"/>
      <c r="AP69" s="120"/>
      <c r="AQ69" s="120"/>
      <c r="AR69" s="120"/>
      <c r="AS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73"/>
      <c r="BH69" s="414"/>
      <c r="BI69" s="132"/>
      <c r="BJ69" s="133"/>
      <c r="BK69" s="134"/>
      <c r="BL69" s="134"/>
      <c r="BM69" s="134"/>
      <c r="BN69" s="134"/>
      <c r="BO69" s="134"/>
      <c r="BP69" s="135"/>
      <c r="BQ69" s="135"/>
      <c r="BR69" s="135"/>
      <c r="BS69" s="135"/>
      <c r="BT69" s="135"/>
      <c r="BU69" s="133"/>
      <c r="BV69" s="108"/>
      <c r="BW69" s="108"/>
      <c r="BX69" s="108"/>
      <c r="BY69" s="108"/>
      <c r="BZ69" s="108"/>
      <c r="CA69" s="108"/>
      <c r="CB69" s="118"/>
      <c r="CC69" s="118"/>
      <c r="CD69" s="120"/>
    </row>
    <row r="70" spans="1:82" ht="61.5" customHeight="1" x14ac:dyDescent="0.25">
      <c r="A70" s="120"/>
      <c r="B70" s="120"/>
      <c r="C70" s="120"/>
      <c r="D70" s="120"/>
      <c r="E70" s="120"/>
      <c r="F70" s="120"/>
      <c r="G70" s="120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72" t="s">
        <v>646</v>
      </c>
      <c r="AD70" s="169" t="s">
        <v>647</v>
      </c>
      <c r="AE70" s="169"/>
      <c r="AF70" s="180" t="str">
        <f t="shared" si="10"/>
        <v>MD - SPANDI SALE O SABBIA</v>
      </c>
      <c r="AG70" s="124"/>
      <c r="AH70" s="124"/>
      <c r="AI70" s="124"/>
      <c r="AJ70" s="124"/>
      <c r="AK70" s="124"/>
      <c r="AL70" s="124"/>
      <c r="AM70" s="124"/>
      <c r="AN70" s="124"/>
      <c r="AO70" s="124"/>
      <c r="AP70" s="120"/>
      <c r="AQ70" s="120"/>
      <c r="AR70" s="120"/>
      <c r="AS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73"/>
      <c r="BH70" s="414"/>
      <c r="BI70" s="132"/>
      <c r="BJ70" s="133"/>
      <c r="BK70" s="134"/>
      <c r="BL70" s="134"/>
      <c r="BM70" s="134"/>
      <c r="BN70" s="134"/>
      <c r="BO70" s="134"/>
      <c r="BP70" s="135"/>
      <c r="BQ70" s="135"/>
      <c r="BR70" s="135"/>
      <c r="BS70" s="135"/>
      <c r="BT70" s="135"/>
      <c r="BU70" s="133"/>
      <c r="BV70" s="108"/>
      <c r="BW70" s="108"/>
      <c r="BX70" s="108"/>
      <c r="BY70" s="108"/>
      <c r="BZ70" s="108"/>
      <c r="CA70" s="108"/>
      <c r="CB70" s="118"/>
      <c r="CC70" s="118"/>
      <c r="CD70" s="120"/>
    </row>
    <row r="71" spans="1:82" ht="61.5" customHeight="1" x14ac:dyDescent="0.25">
      <c r="A71" s="120"/>
      <c r="B71" s="120"/>
      <c r="C71" s="120"/>
      <c r="D71" s="120"/>
      <c r="E71" s="120"/>
      <c r="F71" s="120"/>
      <c r="G71" s="120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72" t="s">
        <v>648</v>
      </c>
      <c r="AD71" s="169" t="s">
        <v>649</v>
      </c>
      <c r="AE71" s="169" t="s">
        <v>548</v>
      </c>
      <c r="AF71" s="180" t="str">
        <f t="shared" si="10"/>
        <v>ME - SGOMBRANEVE</v>
      </c>
      <c r="AG71" s="124"/>
      <c r="AH71" s="124"/>
      <c r="AI71" s="124"/>
      <c r="AJ71" s="124"/>
      <c r="AK71" s="124"/>
      <c r="AL71" s="124"/>
      <c r="AM71" s="124"/>
      <c r="AN71" s="124"/>
      <c r="AO71" s="124"/>
      <c r="AP71" s="120"/>
      <c r="AQ71" s="120"/>
      <c r="AR71" s="120"/>
      <c r="AS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73"/>
      <c r="BH71" s="132"/>
      <c r="BI71" s="132"/>
      <c r="BJ71" s="133"/>
      <c r="BK71" s="134"/>
      <c r="BL71" s="134"/>
      <c r="BM71" s="134"/>
      <c r="BN71" s="134"/>
      <c r="BO71" s="134"/>
      <c r="BP71" s="135"/>
      <c r="BQ71" s="135"/>
      <c r="BR71" s="135"/>
      <c r="BS71" s="135"/>
      <c r="BT71" s="135"/>
      <c r="BU71" s="133"/>
      <c r="BV71" s="108"/>
      <c r="BW71" s="108"/>
      <c r="BX71" s="108"/>
      <c r="BY71" s="108"/>
      <c r="BZ71" s="108"/>
      <c r="CA71" s="108"/>
      <c r="CB71" s="118"/>
      <c r="CC71" s="118"/>
      <c r="CD71" s="120"/>
    </row>
    <row r="72" spans="1:82" ht="61.5" customHeight="1" x14ac:dyDescent="0.25">
      <c r="A72" s="120"/>
      <c r="B72" s="120"/>
      <c r="C72" s="120"/>
      <c r="D72" s="120"/>
      <c r="E72" s="120"/>
      <c r="F72" s="120"/>
      <c r="G72" s="120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72" t="s">
        <v>650</v>
      </c>
      <c r="AD72" s="169" t="s">
        <v>651</v>
      </c>
      <c r="AE72" s="169"/>
      <c r="AF72" s="180" t="str">
        <f t="shared" si="10"/>
        <v xml:space="preserve">MF - FALCIATRICE </v>
      </c>
      <c r="AG72" s="124"/>
      <c r="AH72" s="124"/>
      <c r="AI72" s="124"/>
      <c r="AJ72" s="124"/>
      <c r="AK72" s="124"/>
      <c r="AL72" s="124"/>
      <c r="AM72" s="124"/>
      <c r="AN72" s="124"/>
      <c r="AO72" s="124"/>
      <c r="AP72" s="120"/>
      <c r="AQ72" s="120"/>
      <c r="AR72" s="120"/>
      <c r="AS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73"/>
      <c r="BH72" s="132"/>
      <c r="BI72" s="132"/>
      <c r="BJ72" s="133"/>
      <c r="BK72" s="134"/>
      <c r="BL72" s="134"/>
      <c r="BM72" s="134"/>
      <c r="BN72" s="134"/>
      <c r="BO72" s="134"/>
      <c r="BP72" s="135"/>
      <c r="BQ72" s="135"/>
      <c r="BR72" s="135"/>
      <c r="BS72" s="135"/>
      <c r="BT72" s="135"/>
      <c r="BU72" s="133"/>
      <c r="BV72" s="108"/>
      <c r="BW72" s="108"/>
      <c r="BX72" s="108"/>
      <c r="BY72" s="108"/>
      <c r="BZ72" s="108"/>
      <c r="CA72" s="108"/>
      <c r="CB72" s="118"/>
      <c r="CC72" s="118"/>
      <c r="CD72" s="120"/>
    </row>
    <row r="73" spans="1:82" ht="61.5" customHeight="1" x14ac:dyDescent="0.25">
      <c r="A73" s="120"/>
      <c r="B73" s="120"/>
      <c r="C73" s="120"/>
      <c r="D73" s="120"/>
      <c r="E73" s="120"/>
      <c r="F73" s="120"/>
      <c r="G73" s="120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72" t="s">
        <v>652</v>
      </c>
      <c r="AD73" s="169" t="s">
        <v>653</v>
      </c>
      <c r="AE73" s="169" t="s">
        <v>548</v>
      </c>
      <c r="AF73" s="180" t="str">
        <f t="shared" si="10"/>
        <v>MG - SGOMBRANEVE ROTATIVO</v>
      </c>
      <c r="AG73" s="124"/>
      <c r="AH73" s="124"/>
      <c r="AI73" s="124"/>
      <c r="AJ73" s="124"/>
      <c r="AK73" s="124"/>
      <c r="AL73" s="124"/>
      <c r="AM73" s="124"/>
      <c r="AN73" s="124"/>
      <c r="AO73" s="124"/>
      <c r="AP73" s="120"/>
      <c r="AQ73" s="120"/>
      <c r="AR73" s="120"/>
      <c r="AS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73"/>
      <c r="BH73" s="132"/>
      <c r="BI73" s="132"/>
      <c r="BJ73" s="133"/>
      <c r="BK73" s="134"/>
      <c r="BL73" s="134"/>
      <c r="BM73" s="134"/>
      <c r="BN73" s="134"/>
      <c r="BO73" s="134"/>
      <c r="BP73" s="135"/>
      <c r="BQ73" s="135"/>
      <c r="BR73" s="135"/>
      <c r="BS73" s="135"/>
      <c r="BT73" s="135"/>
      <c r="BU73" s="133"/>
      <c r="BV73" s="108"/>
      <c r="BW73" s="108"/>
      <c r="BX73" s="108"/>
      <c r="BY73" s="108"/>
      <c r="BZ73" s="108"/>
      <c r="CA73" s="108"/>
      <c r="CB73" s="118"/>
      <c r="CC73" s="118"/>
      <c r="CD73" s="120"/>
    </row>
    <row r="74" spans="1:82" ht="61.5" customHeight="1" x14ac:dyDescent="0.25">
      <c r="A74" s="120"/>
      <c r="B74" s="120"/>
      <c r="C74" s="120"/>
      <c r="D74" s="120"/>
      <c r="E74" s="120"/>
      <c r="F74" s="120"/>
      <c r="G74" s="120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72" t="s">
        <v>654</v>
      </c>
      <c r="AD74" s="169" t="s">
        <v>655</v>
      </c>
      <c r="AE74" s="169" t="s">
        <v>548</v>
      </c>
      <c r="AF74" s="180" t="str">
        <f t="shared" si="10"/>
        <v>MH - SGOMBRANEVE A SPINTA</v>
      </c>
      <c r="AG74" s="124"/>
      <c r="AH74" s="124"/>
      <c r="AI74" s="124"/>
      <c r="AJ74" s="124"/>
      <c r="AK74" s="124"/>
      <c r="AL74" s="124"/>
      <c r="AM74" s="124"/>
      <c r="AN74" s="124"/>
      <c r="AO74" s="124"/>
      <c r="AP74" s="120"/>
      <c r="AQ74" s="120"/>
      <c r="AR74" s="120"/>
      <c r="AS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73"/>
      <c r="BH74" s="132"/>
      <c r="BI74" s="132"/>
      <c r="BJ74" s="133"/>
      <c r="BK74" s="134"/>
      <c r="BL74" s="134"/>
      <c r="BM74" s="134"/>
      <c r="BN74" s="134"/>
      <c r="BO74" s="134"/>
      <c r="BP74" s="135"/>
      <c r="BQ74" s="135"/>
      <c r="BR74" s="135"/>
      <c r="BS74" s="135"/>
      <c r="BT74" s="135"/>
      <c r="BU74" s="133"/>
      <c r="BV74" s="108"/>
      <c r="BW74" s="108"/>
      <c r="BX74" s="108"/>
      <c r="BY74" s="108"/>
      <c r="BZ74" s="108"/>
      <c r="CA74" s="108"/>
      <c r="CB74" s="118"/>
      <c r="CC74" s="118"/>
      <c r="CD74" s="120"/>
    </row>
    <row r="75" spans="1:82" ht="61.5" customHeight="1" x14ac:dyDescent="0.25">
      <c r="A75" s="120"/>
      <c r="B75" s="120"/>
      <c r="C75" s="120"/>
      <c r="D75" s="120"/>
      <c r="E75" s="120"/>
      <c r="F75" s="120"/>
      <c r="G75" s="120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72" t="s">
        <v>656</v>
      </c>
      <c r="AD75" s="169" t="s">
        <v>657</v>
      </c>
      <c r="AE75" s="169"/>
      <c r="AF75" s="180" t="str">
        <f t="shared" si="10"/>
        <v xml:space="preserve">MI - FRESATRICE </v>
      </c>
      <c r="AG75" s="124"/>
      <c r="AH75" s="124"/>
      <c r="AI75" s="124"/>
      <c r="AJ75" s="124"/>
      <c r="AK75" s="124"/>
      <c r="AL75" s="124"/>
      <c r="AM75" s="124"/>
      <c r="AN75" s="124"/>
      <c r="AO75" s="124"/>
      <c r="AP75" s="120"/>
      <c r="AQ75" s="120"/>
      <c r="AR75" s="120"/>
      <c r="AS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73"/>
      <c r="BH75" s="132"/>
      <c r="BI75" s="132"/>
      <c r="BJ75" s="133"/>
      <c r="BK75" s="134"/>
      <c r="BL75" s="134"/>
      <c r="BM75" s="134"/>
      <c r="BN75" s="134"/>
      <c r="BO75" s="134"/>
      <c r="BP75" s="135"/>
      <c r="BQ75" s="135"/>
      <c r="BR75" s="135"/>
      <c r="BS75" s="135"/>
      <c r="BT75" s="135"/>
      <c r="BU75" s="133"/>
      <c r="BV75" s="108"/>
      <c r="BW75" s="108"/>
      <c r="BX75" s="108"/>
      <c r="BY75" s="108"/>
      <c r="BZ75" s="108"/>
      <c r="CA75" s="108"/>
      <c r="CB75" s="118"/>
      <c r="CC75" s="118"/>
      <c r="CD75" s="120"/>
    </row>
    <row r="76" spans="1:82" ht="61.5" customHeight="1" x14ac:dyDescent="0.25">
      <c r="A76" s="120"/>
      <c r="B76" s="120"/>
      <c r="C76" s="120"/>
      <c r="D76" s="120"/>
      <c r="E76" s="120"/>
      <c r="F76" s="120"/>
      <c r="G76" s="120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72" t="s">
        <v>658</v>
      </c>
      <c r="AD76" s="169" t="s">
        <v>659</v>
      </c>
      <c r="AE76" s="169"/>
      <c r="AF76" s="180" t="str">
        <f t="shared" si="10"/>
        <v>ML - POMPA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0"/>
      <c r="AQ76" s="120"/>
      <c r="AR76" s="120"/>
      <c r="AS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73"/>
      <c r="BH76" s="132"/>
      <c r="BI76" s="132"/>
      <c r="BJ76" s="133"/>
      <c r="BK76" s="134"/>
      <c r="BL76" s="134"/>
      <c r="BM76" s="134"/>
      <c r="BN76" s="134"/>
      <c r="BO76" s="134"/>
      <c r="BP76" s="135"/>
      <c r="BQ76" s="135"/>
      <c r="BR76" s="135"/>
      <c r="BS76" s="135"/>
      <c r="BT76" s="135"/>
      <c r="BU76" s="133"/>
      <c r="BV76" s="108"/>
      <c r="BW76" s="108"/>
      <c r="BX76" s="108"/>
      <c r="BY76" s="108"/>
      <c r="BZ76" s="108"/>
      <c r="CA76" s="108"/>
      <c r="CB76" s="118"/>
      <c r="CC76" s="118"/>
      <c r="CD76" s="120"/>
    </row>
    <row r="77" spans="1:82" ht="61.5" customHeight="1" x14ac:dyDescent="0.25">
      <c r="A77" s="120"/>
      <c r="B77" s="120"/>
      <c r="C77" s="120"/>
      <c r="D77" s="120"/>
      <c r="E77" s="120"/>
      <c r="F77" s="120"/>
      <c r="G77" s="120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72" t="s">
        <v>660</v>
      </c>
      <c r="AD77" s="169" t="s">
        <v>661</v>
      </c>
      <c r="AE77" s="169"/>
      <c r="AF77" s="180" t="str">
        <f t="shared" si="10"/>
        <v>MM - POMPA PER FANGHI</v>
      </c>
      <c r="AG77" s="124"/>
      <c r="AH77" s="124"/>
      <c r="AI77" s="124"/>
      <c r="AJ77" s="124"/>
      <c r="AK77" s="124"/>
      <c r="AL77" s="124"/>
      <c r="AM77" s="124"/>
      <c r="AN77" s="124"/>
      <c r="AO77" s="124"/>
      <c r="AP77" s="120"/>
      <c r="AQ77" s="120"/>
      <c r="AR77" s="120"/>
      <c r="AS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73"/>
      <c r="BH77" s="132"/>
      <c r="BI77" s="132"/>
      <c r="BJ77" s="133"/>
      <c r="BK77" s="134"/>
      <c r="BL77" s="134"/>
      <c r="BM77" s="134"/>
      <c r="BN77" s="134"/>
      <c r="BO77" s="134"/>
      <c r="BP77" s="135"/>
      <c r="BQ77" s="135"/>
      <c r="BR77" s="135"/>
      <c r="BS77" s="135"/>
      <c r="BT77" s="135"/>
      <c r="BU77" s="133"/>
      <c r="BV77" s="108"/>
      <c r="BW77" s="108"/>
      <c r="BX77" s="108"/>
      <c r="BY77" s="108"/>
      <c r="BZ77" s="108"/>
      <c r="CA77" s="108"/>
      <c r="CB77" s="118"/>
      <c r="CC77" s="118"/>
      <c r="CD77" s="120"/>
    </row>
    <row r="78" spans="1:82" ht="61.5" customHeight="1" x14ac:dyDescent="0.25">
      <c r="A78" s="120"/>
      <c r="B78" s="120"/>
      <c r="C78" s="120"/>
      <c r="D78" s="120"/>
      <c r="E78" s="120"/>
      <c r="F78" s="120"/>
      <c r="G78" s="120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72" t="s">
        <v>662</v>
      </c>
      <c r="AD78" s="169" t="s">
        <v>663</v>
      </c>
      <c r="AE78" s="169"/>
      <c r="AF78" s="180" t="str">
        <f t="shared" si="10"/>
        <v>MN - PULISCI SPIAGGIE O PARCHI</v>
      </c>
      <c r="AG78" s="124"/>
      <c r="AH78" s="124"/>
      <c r="AI78" s="124"/>
      <c r="AJ78" s="124"/>
      <c r="AK78" s="124"/>
      <c r="AL78" s="124"/>
      <c r="AM78" s="124"/>
      <c r="AN78" s="124"/>
      <c r="AO78" s="124"/>
      <c r="AP78" s="120"/>
      <c r="AQ78" s="120"/>
      <c r="AR78" s="120"/>
      <c r="AS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73"/>
      <c r="BH78" s="132"/>
      <c r="BI78" s="132"/>
      <c r="BJ78" s="133"/>
      <c r="BK78" s="134"/>
      <c r="BL78" s="134"/>
      <c r="BM78" s="134"/>
      <c r="BN78" s="134"/>
      <c r="BO78" s="134"/>
      <c r="BP78" s="135"/>
      <c r="BQ78" s="135"/>
      <c r="BR78" s="135"/>
      <c r="BS78" s="135"/>
      <c r="BT78" s="135"/>
      <c r="BU78" s="133"/>
      <c r="BV78" s="108"/>
      <c r="BW78" s="108"/>
      <c r="BX78" s="108"/>
      <c r="BY78" s="108"/>
      <c r="BZ78" s="108"/>
      <c r="CA78" s="108"/>
      <c r="CB78" s="118"/>
      <c r="CC78" s="118"/>
      <c r="CD78" s="120"/>
    </row>
    <row r="79" spans="1:82" ht="61.5" customHeight="1" x14ac:dyDescent="0.25">
      <c r="A79" s="120"/>
      <c r="B79" s="120"/>
      <c r="C79" s="120"/>
      <c r="D79" s="120"/>
      <c r="E79" s="120"/>
      <c r="F79" s="120"/>
      <c r="G79" s="120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72" t="s">
        <v>277</v>
      </c>
      <c r="AD79" s="169" t="s">
        <v>664</v>
      </c>
      <c r="AE79" s="169"/>
      <c r="AF79" s="180" t="str">
        <f t="shared" si="10"/>
        <v xml:space="preserve">MO - DECESPUGLIATORE </v>
      </c>
      <c r="AG79" s="124"/>
      <c r="AH79" s="124"/>
      <c r="AI79" s="124"/>
      <c r="AJ79" s="124"/>
      <c r="AK79" s="124"/>
      <c r="AL79" s="124"/>
      <c r="AM79" s="124"/>
      <c r="AN79" s="124"/>
      <c r="AO79" s="124"/>
      <c r="AP79" s="120"/>
      <c r="AQ79" s="120"/>
      <c r="AR79" s="120"/>
      <c r="AS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73"/>
      <c r="BH79" s="132"/>
      <c r="BI79" s="132"/>
      <c r="BJ79" s="133"/>
      <c r="BK79" s="134"/>
      <c r="BL79" s="134"/>
      <c r="BM79" s="134"/>
      <c r="BN79" s="134"/>
      <c r="BO79" s="134"/>
      <c r="BP79" s="135"/>
      <c r="BQ79" s="135"/>
      <c r="BR79" s="135"/>
      <c r="BS79" s="135"/>
      <c r="BT79" s="135"/>
      <c r="BU79" s="133"/>
      <c r="BV79" s="108"/>
      <c r="BW79" s="108"/>
      <c r="BX79" s="108"/>
      <c r="BY79" s="108"/>
      <c r="BZ79" s="108"/>
      <c r="CA79" s="108"/>
      <c r="CB79" s="118"/>
      <c r="CC79" s="118"/>
      <c r="CD79" s="120"/>
    </row>
    <row r="80" spans="1:82" ht="61.5" customHeight="1" x14ac:dyDescent="0.25">
      <c r="A80" s="120"/>
      <c r="B80" s="120"/>
      <c r="C80" s="120"/>
      <c r="D80" s="120"/>
      <c r="E80" s="120"/>
      <c r="F80" s="120"/>
      <c r="G80" s="120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72" t="s">
        <v>665</v>
      </c>
      <c r="AD80" s="169" t="s">
        <v>666</v>
      </c>
      <c r="AE80" s="169"/>
      <c r="AF80" s="180" t="str">
        <f t="shared" si="10"/>
        <v xml:space="preserve">MP - DECESPUGLIATRICE-PULISCIFOSSI LATERALE </v>
      </c>
      <c r="AG80" s="124"/>
      <c r="AH80" s="124"/>
      <c r="AI80" s="124"/>
      <c r="AJ80" s="124"/>
      <c r="AK80" s="124"/>
      <c r="AL80" s="124"/>
      <c r="AM80" s="124"/>
      <c r="AN80" s="124"/>
      <c r="AO80" s="124"/>
      <c r="AP80" s="120"/>
      <c r="AQ80" s="120"/>
      <c r="AR80" s="120"/>
      <c r="AS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73"/>
      <c r="BH80" s="132"/>
      <c r="BI80" s="132"/>
      <c r="BJ80" s="133"/>
      <c r="BK80" s="134"/>
      <c r="BL80" s="134"/>
      <c r="BM80" s="134"/>
      <c r="BN80" s="134"/>
      <c r="BO80" s="134"/>
      <c r="BP80" s="135"/>
      <c r="BQ80" s="135"/>
      <c r="BR80" s="135"/>
      <c r="BS80" s="135"/>
      <c r="BT80" s="135"/>
      <c r="BU80" s="133"/>
      <c r="BV80" s="108"/>
      <c r="BW80" s="108"/>
      <c r="BX80" s="108"/>
      <c r="BY80" s="108"/>
      <c r="BZ80" s="108"/>
      <c r="CA80" s="108"/>
      <c r="CB80" s="118"/>
      <c r="CC80" s="118"/>
      <c r="CD80" s="120"/>
    </row>
    <row r="81" spans="1:82" ht="61.5" customHeight="1" x14ac:dyDescent="0.25">
      <c r="A81" s="120"/>
      <c r="B81" s="120"/>
      <c r="C81" s="120"/>
      <c r="D81" s="120"/>
      <c r="E81" s="120"/>
      <c r="F81" s="120"/>
      <c r="G81" s="120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72" t="s">
        <v>667</v>
      </c>
      <c r="AD81" s="169" t="s">
        <v>668</v>
      </c>
      <c r="AE81" s="169"/>
      <c r="AF81" s="180" t="str">
        <f t="shared" si="10"/>
        <v xml:space="preserve">MR - SPAZZATRICE ROTATIVA </v>
      </c>
      <c r="AG81" s="124"/>
      <c r="AH81" s="124"/>
      <c r="AI81" s="124"/>
      <c r="AJ81" s="124"/>
      <c r="AK81" s="124"/>
      <c r="AL81" s="124"/>
      <c r="AM81" s="124"/>
      <c r="AN81" s="124"/>
      <c r="AO81" s="124"/>
      <c r="AP81" s="120"/>
      <c r="AQ81" s="120"/>
      <c r="AR81" s="120"/>
      <c r="AS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73"/>
      <c r="BH81" s="132"/>
      <c r="BI81" s="132"/>
      <c r="BJ81" s="133"/>
      <c r="BK81" s="134"/>
      <c r="BL81" s="134"/>
      <c r="BM81" s="134"/>
      <c r="BN81" s="134"/>
      <c r="BO81" s="134"/>
      <c r="BP81" s="135"/>
      <c r="BQ81" s="135"/>
      <c r="BR81" s="135"/>
      <c r="BS81" s="135"/>
      <c r="BT81" s="135"/>
      <c r="BU81" s="133"/>
      <c r="BV81" s="108"/>
      <c r="BW81" s="108"/>
      <c r="BX81" s="108"/>
      <c r="BY81" s="108"/>
      <c r="BZ81" s="108"/>
      <c r="CA81" s="108"/>
      <c r="CB81" s="118"/>
      <c r="CC81" s="118"/>
      <c r="CD81" s="120"/>
    </row>
    <row r="82" spans="1:82" ht="61.5" customHeight="1" x14ac:dyDescent="0.25">
      <c r="A82" s="120"/>
      <c r="B82" s="120"/>
      <c r="C82" s="120"/>
      <c r="D82" s="120"/>
      <c r="E82" s="120"/>
      <c r="F82" s="120"/>
      <c r="G82" s="120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72" t="s">
        <v>669</v>
      </c>
      <c r="AD82" s="169" t="s">
        <v>670</v>
      </c>
      <c r="AE82" s="169"/>
      <c r="AF82" s="180" t="str">
        <f t="shared" si="10"/>
        <v xml:space="preserve">MS - IDROSPAZZATRICE </v>
      </c>
      <c r="AG82" s="124"/>
      <c r="AH82" s="124"/>
      <c r="AI82" s="124"/>
      <c r="AJ82" s="124"/>
      <c r="AK82" s="124"/>
      <c r="AL82" s="124"/>
      <c r="AM82" s="124"/>
      <c r="AN82" s="124"/>
      <c r="AO82" s="124"/>
      <c r="AP82" s="120"/>
      <c r="AQ82" s="120"/>
      <c r="AR82" s="120"/>
      <c r="AS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73"/>
      <c r="BH82" s="132"/>
      <c r="BI82" s="132"/>
      <c r="BJ82" s="133"/>
      <c r="BK82" s="134"/>
      <c r="BL82" s="134"/>
      <c r="BM82" s="134"/>
      <c r="BN82" s="134"/>
      <c r="BO82" s="134"/>
      <c r="BP82" s="135"/>
      <c r="BQ82" s="135"/>
      <c r="BR82" s="135"/>
      <c r="BS82" s="135"/>
      <c r="BT82" s="135"/>
      <c r="BU82" s="133"/>
      <c r="BV82" s="108"/>
      <c r="BW82" s="108"/>
      <c r="BX82" s="108"/>
      <c r="BY82" s="108"/>
      <c r="BZ82" s="108"/>
      <c r="CA82" s="108"/>
      <c r="CB82" s="118"/>
      <c r="CC82" s="118"/>
      <c r="CD82" s="120"/>
    </row>
    <row r="83" spans="1:82" ht="120" x14ac:dyDescent="0.25">
      <c r="A83" s="120"/>
      <c r="B83" s="120"/>
      <c r="C83" s="120"/>
      <c r="D83" s="120"/>
      <c r="E83" s="120"/>
      <c r="F83" s="120"/>
      <c r="G83" s="120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72" t="s">
        <v>671</v>
      </c>
      <c r="AD83" s="169" t="s">
        <v>672</v>
      </c>
      <c r="AE83" s="169" t="s">
        <v>548</v>
      </c>
      <c r="AF83" s="180" t="str">
        <f t="shared" si="10"/>
        <v xml:space="preserve">MT - SGOMBRANEVE A SPINTA CON SPANDISALE POSTERIORE </v>
      </c>
      <c r="AG83" s="124"/>
      <c r="AH83" s="124"/>
      <c r="AI83" s="124"/>
      <c r="AJ83" s="124"/>
      <c r="AK83" s="124"/>
      <c r="AL83" s="124"/>
      <c r="AM83" s="124"/>
      <c r="AN83" s="124"/>
      <c r="AO83" s="124"/>
      <c r="AP83" s="120"/>
      <c r="AQ83" s="120"/>
      <c r="AR83" s="120"/>
      <c r="AS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73"/>
      <c r="BH83" s="132"/>
      <c r="BI83" s="132"/>
      <c r="BJ83" s="133"/>
      <c r="BK83" s="134"/>
      <c r="BL83" s="134"/>
      <c r="BM83" s="134"/>
      <c r="BN83" s="134"/>
      <c r="BO83" s="134"/>
      <c r="BP83" s="135"/>
      <c r="BQ83" s="135"/>
      <c r="BR83" s="135"/>
      <c r="BS83" s="135"/>
      <c r="BT83" s="135"/>
      <c r="BU83" s="133"/>
      <c r="BV83" s="108"/>
      <c r="BW83" s="108"/>
      <c r="BX83" s="108"/>
      <c r="BY83" s="108"/>
      <c r="BZ83" s="108"/>
      <c r="CA83" s="108"/>
      <c r="CB83" s="118"/>
      <c r="CC83" s="118"/>
      <c r="CD83" s="120"/>
    </row>
    <row r="84" spans="1:82" ht="81" customHeight="1" x14ac:dyDescent="0.25">
      <c r="A84" s="120"/>
      <c r="B84" s="120"/>
      <c r="C84" s="120"/>
      <c r="D84" s="120"/>
      <c r="E84" s="120"/>
      <c r="F84" s="120"/>
      <c r="G84" s="120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72" t="s">
        <v>673</v>
      </c>
      <c r="AD84" s="169" t="s">
        <v>674</v>
      </c>
      <c r="AE84" s="169"/>
      <c r="AF84" s="180" t="str">
        <f t="shared" si="10"/>
        <v xml:space="preserve">MU - TOSAERBA </v>
      </c>
      <c r="AG84" s="124"/>
      <c r="AH84" s="124"/>
      <c r="AI84" s="124"/>
      <c r="AJ84" s="124"/>
      <c r="AK84" s="124"/>
      <c r="AL84" s="124"/>
      <c r="AM84" s="124"/>
      <c r="AN84" s="124"/>
      <c r="AO84" s="124"/>
      <c r="AP84" s="120"/>
      <c r="AQ84" s="120"/>
      <c r="AR84" s="120"/>
      <c r="AS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73"/>
      <c r="BH84" s="132"/>
      <c r="BI84" s="132"/>
      <c r="BJ84" s="133"/>
      <c r="BK84" s="134"/>
      <c r="BL84" s="134"/>
      <c r="BM84" s="134"/>
      <c r="BN84" s="134"/>
      <c r="BO84" s="134"/>
      <c r="BP84" s="135"/>
      <c r="BQ84" s="135"/>
      <c r="BR84" s="135"/>
      <c r="BS84" s="135"/>
      <c r="BT84" s="135"/>
      <c r="BU84" s="133"/>
      <c r="BV84" s="108"/>
      <c r="BW84" s="108"/>
      <c r="BX84" s="108"/>
      <c r="BY84" s="108"/>
      <c r="BZ84" s="108"/>
      <c r="CA84" s="108"/>
      <c r="CB84" s="118"/>
      <c r="CC84" s="118"/>
      <c r="CD84" s="120"/>
    </row>
    <row r="85" spans="1:82" ht="30" x14ac:dyDescent="0.25">
      <c r="A85" s="120"/>
      <c r="B85" s="120"/>
      <c r="C85" s="120"/>
      <c r="D85" s="120"/>
      <c r="E85" s="120"/>
      <c r="F85" s="120"/>
      <c r="G85" s="120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72" t="s">
        <v>675</v>
      </c>
      <c r="AD85" s="169" t="s">
        <v>676</v>
      </c>
      <c r="AE85" s="169"/>
      <c r="AF85" s="180" t="str">
        <f t="shared" si="10"/>
        <v xml:space="preserve">MV - PACCIAMATRICE </v>
      </c>
      <c r="AG85" s="124"/>
      <c r="AH85" s="124"/>
      <c r="AI85" s="124"/>
      <c r="AJ85" s="124"/>
      <c r="AK85" s="124"/>
      <c r="AL85" s="124"/>
      <c r="AM85" s="124"/>
      <c r="AN85" s="124"/>
      <c r="AO85" s="124"/>
      <c r="AP85" s="120"/>
      <c r="AQ85" s="120"/>
      <c r="AR85" s="120"/>
      <c r="AS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73"/>
      <c r="BH85" s="132"/>
      <c r="BI85" s="132"/>
      <c r="BJ85" s="133"/>
      <c r="BK85" s="134"/>
      <c r="BL85" s="134"/>
      <c r="BM85" s="134"/>
      <c r="BN85" s="134"/>
      <c r="BO85" s="134"/>
      <c r="BP85" s="135"/>
      <c r="BQ85" s="135"/>
      <c r="BR85" s="135"/>
      <c r="BS85" s="135"/>
      <c r="BT85" s="135"/>
      <c r="BU85" s="133"/>
      <c r="BV85" s="108"/>
      <c r="BW85" s="108"/>
      <c r="BX85" s="108"/>
      <c r="BY85" s="108"/>
      <c r="BZ85" s="108"/>
      <c r="CA85" s="108"/>
      <c r="CB85" s="118"/>
      <c r="CC85" s="118"/>
      <c r="CD85" s="120"/>
    </row>
    <row r="86" spans="1:82" ht="30" x14ac:dyDescent="0.25">
      <c r="A86" s="120"/>
      <c r="B86" s="120"/>
      <c r="C86" s="120"/>
      <c r="D86" s="120"/>
      <c r="E86" s="120"/>
      <c r="F86" s="120"/>
      <c r="G86" s="120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72" t="s">
        <v>677</v>
      </c>
      <c r="AD86" s="169" t="s">
        <v>678</v>
      </c>
      <c r="AE86" s="169"/>
      <c r="AF86" s="180" t="str">
        <f t="shared" si="10"/>
        <v xml:space="preserve">MX - PIANTAPALI </v>
      </c>
      <c r="AG86" s="124"/>
      <c r="AH86" s="124"/>
      <c r="AI86" s="124"/>
      <c r="AJ86" s="124"/>
      <c r="AK86" s="124"/>
      <c r="AL86" s="124"/>
      <c r="AM86" s="124"/>
      <c r="AN86" s="124"/>
      <c r="AO86" s="124"/>
      <c r="AP86" s="120"/>
      <c r="AQ86" s="120"/>
      <c r="AR86" s="120"/>
      <c r="AS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73"/>
      <c r="BH86" s="132"/>
      <c r="BI86" s="132"/>
      <c r="BJ86" s="133"/>
      <c r="BK86" s="134"/>
      <c r="BL86" s="134"/>
      <c r="BM86" s="134"/>
      <c r="BN86" s="134"/>
      <c r="BO86" s="134"/>
      <c r="BP86" s="135"/>
      <c r="BQ86" s="135"/>
      <c r="BR86" s="135"/>
      <c r="BS86" s="135"/>
      <c r="BT86" s="135"/>
      <c r="BU86" s="133"/>
      <c r="BV86" s="108"/>
      <c r="BW86" s="108"/>
      <c r="BX86" s="108"/>
      <c r="BY86" s="108"/>
      <c r="BZ86" s="108"/>
      <c r="CA86" s="108"/>
      <c r="CB86" s="118"/>
      <c r="CC86" s="118"/>
      <c r="CD86" s="120"/>
    </row>
    <row r="87" spans="1:82" ht="30" x14ac:dyDescent="0.25">
      <c r="A87" s="120"/>
      <c r="B87" s="120"/>
      <c r="C87" s="120"/>
      <c r="D87" s="120"/>
      <c r="E87" s="120"/>
      <c r="F87" s="120"/>
      <c r="G87" s="120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72" t="s">
        <v>679</v>
      </c>
      <c r="AD87" s="169" t="s">
        <v>680</v>
      </c>
      <c r="AE87" s="169"/>
      <c r="AF87" s="180" t="str">
        <f t="shared" si="10"/>
        <v xml:space="preserve">MY - IRRORATRICE </v>
      </c>
      <c r="AG87" s="124"/>
      <c r="AH87" s="124"/>
      <c r="AI87" s="124"/>
      <c r="AJ87" s="124"/>
      <c r="AK87" s="124"/>
      <c r="AL87" s="124"/>
      <c r="AM87" s="124"/>
      <c r="AN87" s="124"/>
      <c r="AO87" s="124"/>
      <c r="AP87" s="120"/>
      <c r="AQ87" s="120"/>
      <c r="AR87" s="120"/>
      <c r="AS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73"/>
      <c r="BH87" s="132"/>
      <c r="BI87" s="132"/>
      <c r="BJ87" s="133"/>
      <c r="BK87" s="134"/>
      <c r="BL87" s="134"/>
      <c r="BM87" s="134"/>
      <c r="BN87" s="134"/>
      <c r="BO87" s="134"/>
      <c r="BP87" s="135"/>
      <c r="BQ87" s="135"/>
      <c r="BR87" s="135"/>
      <c r="BS87" s="135"/>
      <c r="BT87" s="135"/>
      <c r="BU87" s="133"/>
      <c r="BV87" s="108"/>
      <c r="BW87" s="108"/>
      <c r="BX87" s="108"/>
      <c r="BY87" s="108"/>
      <c r="BZ87" s="108"/>
      <c r="CA87" s="108"/>
      <c r="CB87" s="118"/>
      <c r="CC87" s="118"/>
      <c r="CD87" s="120"/>
    </row>
    <row r="88" spans="1:82" ht="30" x14ac:dyDescent="0.25">
      <c r="A88" s="120"/>
      <c r="B88" s="120"/>
      <c r="C88" s="120"/>
      <c r="D88" s="120"/>
      <c r="E88" s="120"/>
      <c r="F88" s="120"/>
      <c r="G88" s="120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72" t="s">
        <v>681</v>
      </c>
      <c r="AD88" s="169" t="s">
        <v>682</v>
      </c>
      <c r="AE88" s="169"/>
      <c r="AF88" s="180" t="str">
        <f t="shared" ref="AF88:AF123" si="11">AC88&amp;" - "&amp;AD88</f>
        <v xml:space="preserve">MZ - SALDATRICE </v>
      </c>
      <c r="AG88" s="124"/>
      <c r="AH88" s="124"/>
      <c r="AI88" s="124"/>
      <c r="AJ88" s="124"/>
      <c r="AK88" s="124"/>
      <c r="AL88" s="124"/>
      <c r="AM88" s="124"/>
      <c r="AN88" s="124"/>
      <c r="AO88" s="124"/>
      <c r="AP88" s="120"/>
      <c r="AQ88" s="120"/>
      <c r="AR88" s="120"/>
      <c r="AS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73"/>
      <c r="BH88" s="132"/>
      <c r="BI88" s="132"/>
      <c r="BJ88" s="133"/>
      <c r="BK88" s="134"/>
      <c r="BL88" s="134"/>
      <c r="BM88" s="134"/>
      <c r="BN88" s="134"/>
      <c r="BO88" s="134"/>
      <c r="BP88" s="135"/>
      <c r="BQ88" s="135"/>
      <c r="BR88" s="135"/>
      <c r="BS88" s="135"/>
      <c r="BT88" s="135"/>
      <c r="BU88" s="133"/>
      <c r="BV88" s="108"/>
      <c r="BW88" s="108"/>
      <c r="BX88" s="108"/>
      <c r="BY88" s="108"/>
      <c r="BZ88" s="108"/>
      <c r="CA88" s="108"/>
      <c r="CB88" s="118"/>
      <c r="CC88" s="118"/>
      <c r="CD88" s="120"/>
    </row>
    <row r="89" spans="1:82" ht="30" x14ac:dyDescent="0.25">
      <c r="A89" s="120"/>
      <c r="B89" s="120"/>
      <c r="C89" s="120"/>
      <c r="D89" s="120"/>
      <c r="E89" s="120"/>
      <c r="F89" s="120"/>
      <c r="G89" s="120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72" t="s">
        <v>683</v>
      </c>
      <c r="AD89" s="169" t="s">
        <v>684</v>
      </c>
      <c r="AE89" s="169" t="s">
        <v>548</v>
      </c>
      <c r="AF89" s="180" t="str">
        <f t="shared" si="11"/>
        <v>PA - PERFORATRICE</v>
      </c>
      <c r="AG89" s="124"/>
      <c r="AH89" s="124"/>
      <c r="AI89" s="124"/>
      <c r="AJ89" s="124"/>
      <c r="AK89" s="124"/>
      <c r="AL89" s="124"/>
      <c r="AM89" s="124"/>
      <c r="AN89" s="124"/>
      <c r="AO89" s="124"/>
      <c r="AP89" s="120"/>
      <c r="AQ89" s="120"/>
      <c r="AR89" s="120"/>
      <c r="AS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73"/>
      <c r="BH89" s="132"/>
      <c r="BI89" s="132"/>
      <c r="BJ89" s="133"/>
      <c r="BK89" s="134"/>
      <c r="BL89" s="134"/>
      <c r="BM89" s="134"/>
      <c r="BN89" s="134"/>
      <c r="BO89" s="134"/>
      <c r="BP89" s="135"/>
      <c r="BQ89" s="135"/>
      <c r="BR89" s="135"/>
      <c r="BS89" s="135"/>
      <c r="BT89" s="135"/>
      <c r="BU89" s="133"/>
      <c r="BV89" s="108"/>
      <c r="BW89" s="108"/>
      <c r="BX89" s="108"/>
      <c r="BY89" s="108"/>
      <c r="BZ89" s="108"/>
      <c r="CA89" s="108"/>
      <c r="CB89" s="118"/>
      <c r="CC89" s="118"/>
      <c r="CD89" s="120"/>
    </row>
    <row r="90" spans="1:82" ht="45" x14ac:dyDescent="0.25">
      <c r="A90" s="120"/>
      <c r="B90" s="120"/>
      <c r="C90" s="120"/>
      <c r="D90" s="120"/>
      <c r="E90" s="120"/>
      <c r="F90" s="120"/>
      <c r="G90" s="120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72" t="s">
        <v>685</v>
      </c>
      <c r="AD90" s="169" t="s">
        <v>686</v>
      </c>
      <c r="AE90" s="169" t="s">
        <v>548</v>
      </c>
      <c r="AF90" s="180" t="str">
        <f t="shared" si="11"/>
        <v>PB - PERFORATRICE A ROTAZIONE</v>
      </c>
      <c r="AG90" s="124"/>
      <c r="AH90" s="124"/>
      <c r="AI90" s="124"/>
      <c r="AJ90" s="124"/>
      <c r="AK90" s="124"/>
      <c r="AL90" s="124"/>
      <c r="AM90" s="124"/>
      <c r="AN90" s="124"/>
      <c r="AO90" s="124"/>
      <c r="AP90" s="120"/>
      <c r="AQ90" s="120"/>
      <c r="AR90" s="120"/>
      <c r="AS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73"/>
      <c r="BH90" s="132"/>
      <c r="BI90" s="132"/>
      <c r="BJ90" s="133"/>
      <c r="BK90" s="134"/>
      <c r="BL90" s="134"/>
      <c r="BM90" s="134"/>
      <c r="BN90" s="134"/>
      <c r="BO90" s="134"/>
      <c r="BP90" s="135"/>
      <c r="BQ90" s="135"/>
      <c r="BR90" s="135"/>
      <c r="BS90" s="135"/>
      <c r="BT90" s="135"/>
      <c r="BU90" s="133"/>
      <c r="BV90" s="108"/>
      <c r="BW90" s="108"/>
      <c r="BX90" s="108"/>
      <c r="BY90" s="108"/>
      <c r="BZ90" s="108"/>
      <c r="CA90" s="108"/>
      <c r="CB90" s="118"/>
      <c r="CC90" s="118"/>
      <c r="CD90" s="120"/>
    </row>
    <row r="91" spans="1:82" ht="60" x14ac:dyDescent="0.25">
      <c r="A91" s="120"/>
      <c r="B91" s="120"/>
      <c r="C91" s="120"/>
      <c r="D91" s="120"/>
      <c r="E91" s="120"/>
      <c r="F91" s="120"/>
      <c r="G91" s="120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72" t="s">
        <v>687</v>
      </c>
      <c r="AD91" s="169" t="s">
        <v>688</v>
      </c>
      <c r="AE91" s="169" t="s">
        <v>548</v>
      </c>
      <c r="AF91" s="180" t="str">
        <f t="shared" si="11"/>
        <v>PC - PERFORATRICE A PERCUSSIONE</v>
      </c>
      <c r="AG91" s="124"/>
      <c r="AH91" s="124"/>
      <c r="AI91" s="124"/>
      <c r="AJ91" s="124"/>
      <c r="AK91" s="124"/>
      <c r="AL91" s="124"/>
      <c r="AM91" s="124"/>
      <c r="AN91" s="124"/>
      <c r="AO91" s="124"/>
      <c r="AP91" s="120"/>
      <c r="AQ91" s="120"/>
      <c r="AR91" s="120"/>
      <c r="AS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73"/>
      <c r="BH91" s="132"/>
      <c r="BI91" s="132"/>
      <c r="BJ91" s="133"/>
      <c r="BK91" s="134"/>
      <c r="BL91" s="134"/>
      <c r="BM91" s="134"/>
      <c r="BN91" s="134"/>
      <c r="BO91" s="134"/>
      <c r="BP91" s="135"/>
      <c r="BQ91" s="135"/>
      <c r="BR91" s="135"/>
      <c r="BS91" s="135"/>
      <c r="BT91" s="135"/>
      <c r="BU91" s="133"/>
      <c r="BV91" s="108"/>
      <c r="BW91" s="108"/>
      <c r="BX91" s="108"/>
      <c r="BY91" s="108"/>
      <c r="BZ91" s="108"/>
      <c r="CA91" s="108"/>
      <c r="CB91" s="118"/>
      <c r="CC91" s="118"/>
      <c r="CD91" s="120"/>
    </row>
    <row r="92" spans="1:82" x14ac:dyDescent="0.25">
      <c r="A92" s="120"/>
      <c r="B92" s="120"/>
      <c r="C92" s="120"/>
      <c r="D92" s="120"/>
      <c r="E92" s="120"/>
      <c r="F92" s="120"/>
      <c r="G92" s="120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72" t="s">
        <v>689</v>
      </c>
      <c r="AD92" s="169" t="s">
        <v>690</v>
      </c>
      <c r="AE92" s="169" t="s">
        <v>548</v>
      </c>
      <c r="AF92" s="180" t="str">
        <f t="shared" si="11"/>
        <v>RA - RUSPA</v>
      </c>
      <c r="AG92" s="124"/>
      <c r="AH92" s="124"/>
      <c r="AI92" s="124"/>
      <c r="AJ92" s="124"/>
      <c r="AK92" s="124"/>
      <c r="AL92" s="124"/>
      <c r="AM92" s="124"/>
      <c r="AN92" s="124"/>
      <c r="AO92" s="124"/>
      <c r="AP92" s="120"/>
      <c r="AQ92" s="120"/>
      <c r="AR92" s="120"/>
      <c r="AS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73"/>
      <c r="BH92" s="132"/>
      <c r="BI92" s="132"/>
      <c r="BJ92" s="133"/>
      <c r="BK92" s="134"/>
      <c r="BL92" s="134"/>
      <c r="BM92" s="134"/>
      <c r="BN92" s="134"/>
      <c r="BO92" s="134"/>
      <c r="BP92" s="135"/>
      <c r="BQ92" s="135"/>
      <c r="BR92" s="135"/>
      <c r="BS92" s="135"/>
      <c r="BT92" s="135"/>
      <c r="BU92" s="133"/>
      <c r="BV92" s="108"/>
      <c r="BW92" s="108"/>
      <c r="BX92" s="108"/>
      <c r="BY92" s="108"/>
      <c r="BZ92" s="108"/>
      <c r="CA92" s="108"/>
      <c r="CB92" s="118"/>
      <c r="CC92" s="118"/>
      <c r="CD92" s="120"/>
    </row>
    <row r="93" spans="1:82" x14ac:dyDescent="0.25">
      <c r="A93" s="120"/>
      <c r="B93" s="120"/>
      <c r="C93" s="120"/>
      <c r="D93" s="120"/>
      <c r="E93" s="120"/>
      <c r="F93" s="120"/>
      <c r="G93" s="120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72" t="s">
        <v>691</v>
      </c>
      <c r="AD93" s="169" t="s">
        <v>692</v>
      </c>
      <c r="AE93" s="169" t="s">
        <v>548</v>
      </c>
      <c r="AF93" s="180" t="str">
        <f t="shared" si="11"/>
        <v>SA - APRIPISTA</v>
      </c>
      <c r="AG93" s="124"/>
      <c r="AH93" s="124"/>
      <c r="AI93" s="124"/>
      <c r="AJ93" s="124"/>
      <c r="AK93" s="124"/>
      <c r="AL93" s="124"/>
      <c r="AM93" s="124"/>
      <c r="AN93" s="124"/>
      <c r="AO93" s="124"/>
      <c r="AP93" s="120"/>
      <c r="AQ93" s="120"/>
      <c r="AR93" s="120"/>
      <c r="AS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73"/>
      <c r="BH93" s="132"/>
      <c r="BI93" s="132"/>
      <c r="BJ93" s="133"/>
      <c r="BK93" s="134"/>
      <c r="BL93" s="134"/>
      <c r="BM93" s="134"/>
      <c r="BN93" s="134"/>
      <c r="BO93" s="134"/>
      <c r="BP93" s="135"/>
      <c r="BQ93" s="135"/>
      <c r="BR93" s="135"/>
      <c r="BS93" s="135"/>
      <c r="BT93" s="135"/>
      <c r="BU93" s="133"/>
      <c r="BV93" s="108"/>
      <c r="BW93" s="108"/>
      <c r="BX93" s="108"/>
      <c r="BY93" s="108"/>
      <c r="BZ93" s="108"/>
      <c r="CA93" s="108"/>
      <c r="CB93" s="118"/>
      <c r="CC93" s="118"/>
      <c r="CD93" s="120"/>
    </row>
    <row r="94" spans="1:82" ht="45" x14ac:dyDescent="0.25">
      <c r="A94" s="120"/>
      <c r="B94" s="120"/>
      <c r="C94" s="120"/>
      <c r="D94" s="120"/>
      <c r="E94" s="120"/>
      <c r="F94" s="120"/>
      <c r="G94" s="120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72" t="s">
        <v>693</v>
      </c>
      <c r="AD94" s="169" t="s">
        <v>694</v>
      </c>
      <c r="AE94" s="169" t="s">
        <v>548</v>
      </c>
      <c r="AF94" s="180" t="str">
        <f t="shared" si="11"/>
        <v>SB - APRIPISTA A LAMA FISSA</v>
      </c>
      <c r="AG94" s="124"/>
      <c r="AH94" s="124"/>
      <c r="AI94" s="124"/>
      <c r="AJ94" s="124"/>
      <c r="AK94" s="124"/>
      <c r="AL94" s="124"/>
      <c r="AM94" s="124"/>
      <c r="AN94" s="124"/>
      <c r="AO94" s="124"/>
      <c r="AP94" s="120"/>
      <c r="AQ94" s="120"/>
      <c r="AR94" s="120"/>
      <c r="AS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73"/>
      <c r="BH94" s="132"/>
      <c r="BI94" s="132"/>
      <c r="BJ94" s="133"/>
      <c r="BK94" s="134"/>
      <c r="BL94" s="134"/>
      <c r="BM94" s="134"/>
      <c r="BN94" s="134"/>
      <c r="BO94" s="134"/>
      <c r="BP94" s="135"/>
      <c r="BQ94" s="135"/>
      <c r="BR94" s="135"/>
      <c r="BS94" s="135"/>
      <c r="BT94" s="135"/>
      <c r="BU94" s="133"/>
      <c r="BV94" s="108"/>
      <c r="BW94" s="108"/>
      <c r="BX94" s="108"/>
      <c r="BY94" s="108"/>
      <c r="BZ94" s="108"/>
      <c r="CA94" s="108"/>
      <c r="CB94" s="118"/>
      <c r="CC94" s="118"/>
      <c r="CD94" s="120"/>
    </row>
    <row r="95" spans="1:82" ht="60" x14ac:dyDescent="0.25">
      <c r="A95" s="120"/>
      <c r="B95" s="120"/>
      <c r="C95" s="120"/>
      <c r="D95" s="120"/>
      <c r="E95" s="120"/>
      <c r="F95" s="120"/>
      <c r="G95" s="120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72" t="s">
        <v>695</v>
      </c>
      <c r="AD95" s="169" t="s">
        <v>696</v>
      </c>
      <c r="AE95" s="169" t="s">
        <v>548</v>
      </c>
      <c r="AF95" s="180" t="str">
        <f t="shared" si="11"/>
        <v>SC - APRIPISTA A LAMA ANGOLABILE</v>
      </c>
      <c r="AG95" s="124"/>
      <c r="AH95" s="124"/>
      <c r="AI95" s="124"/>
      <c r="AJ95" s="124"/>
      <c r="AK95" s="124"/>
      <c r="AL95" s="124"/>
      <c r="AM95" s="124"/>
      <c r="AN95" s="124"/>
      <c r="AO95" s="124"/>
      <c r="AP95" s="120"/>
      <c r="AQ95" s="120"/>
      <c r="AR95" s="120"/>
      <c r="AS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73"/>
      <c r="BH95" s="132"/>
      <c r="BI95" s="132"/>
      <c r="BJ95" s="133"/>
      <c r="BK95" s="134"/>
      <c r="BL95" s="134"/>
      <c r="BM95" s="134"/>
      <c r="BN95" s="134"/>
      <c r="BO95" s="134"/>
      <c r="BP95" s="135"/>
      <c r="BQ95" s="135"/>
      <c r="BR95" s="135"/>
      <c r="BS95" s="135"/>
      <c r="BT95" s="135"/>
      <c r="BU95" s="133"/>
      <c r="BV95" s="108"/>
      <c r="BW95" s="108"/>
      <c r="BX95" s="108"/>
      <c r="BY95" s="108"/>
      <c r="BZ95" s="108"/>
      <c r="CA95" s="108"/>
      <c r="CB95" s="118"/>
      <c r="CC95" s="118"/>
      <c r="CD95" s="120"/>
    </row>
    <row r="96" spans="1:82" ht="60" x14ac:dyDescent="0.25">
      <c r="A96" s="120"/>
      <c r="B96" s="120"/>
      <c r="C96" s="120"/>
      <c r="D96" s="120"/>
      <c r="E96" s="120"/>
      <c r="F96" s="120"/>
      <c r="G96" s="120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72" t="s">
        <v>697</v>
      </c>
      <c r="AD96" s="169" t="s">
        <v>698</v>
      </c>
      <c r="AE96" s="169" t="s">
        <v>548</v>
      </c>
      <c r="AF96" s="180" t="str">
        <f t="shared" si="11"/>
        <v>SD - APRIPISTA CON MOVIMENTO TILT</v>
      </c>
      <c r="AG96" s="124"/>
      <c r="AH96" s="124"/>
      <c r="AI96" s="124"/>
      <c r="AJ96" s="124"/>
      <c r="AK96" s="124"/>
      <c r="AL96" s="124"/>
      <c r="AM96" s="124"/>
      <c r="AN96" s="124"/>
      <c r="AO96" s="124"/>
      <c r="AP96" s="120"/>
      <c r="AQ96" s="120"/>
      <c r="AR96" s="120"/>
      <c r="AS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73"/>
      <c r="BH96" s="415"/>
      <c r="BI96" s="132"/>
      <c r="BJ96" s="133"/>
      <c r="BK96" s="134"/>
      <c r="BL96" s="134"/>
      <c r="BM96" s="134"/>
      <c r="BN96" s="134"/>
      <c r="BO96" s="134"/>
      <c r="BP96" s="135"/>
      <c r="BQ96" s="135"/>
      <c r="BR96" s="135"/>
      <c r="BS96" s="135"/>
      <c r="BT96" s="135"/>
      <c r="BU96" s="133"/>
      <c r="BV96" s="108"/>
      <c r="BW96" s="108"/>
      <c r="BX96" s="108"/>
      <c r="BY96" s="108"/>
      <c r="BZ96" s="108"/>
      <c r="CA96" s="108"/>
      <c r="CB96" s="118"/>
      <c r="CC96" s="118"/>
      <c r="CD96" s="120"/>
    </row>
    <row r="97" spans="1:82" ht="60" x14ac:dyDescent="0.25">
      <c r="A97" s="120"/>
      <c r="B97" s="120"/>
      <c r="C97" s="120"/>
      <c r="D97" s="120"/>
      <c r="E97" s="120"/>
      <c r="F97" s="120"/>
      <c r="G97" s="120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72" t="s">
        <v>391</v>
      </c>
      <c r="AD97" s="169" t="s">
        <v>699</v>
      </c>
      <c r="AE97" s="169" t="s">
        <v>548</v>
      </c>
      <c r="AF97" s="180" t="str">
        <f t="shared" si="11"/>
        <v>SE - APRIPISTA CON MOVIMENTO PITCH</v>
      </c>
      <c r="AG97" s="124"/>
      <c r="AH97" s="124"/>
      <c r="AI97" s="124"/>
      <c r="AJ97" s="124"/>
      <c r="AK97" s="124"/>
      <c r="AL97" s="124"/>
      <c r="AM97" s="124"/>
      <c r="AN97" s="124"/>
      <c r="AO97" s="124"/>
      <c r="AP97" s="120"/>
      <c r="AQ97" s="120"/>
      <c r="AR97" s="120"/>
      <c r="AS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73"/>
      <c r="BH97" s="132"/>
      <c r="BI97" s="132"/>
      <c r="BJ97" s="133"/>
      <c r="BK97" s="134"/>
      <c r="BL97" s="134"/>
      <c r="BM97" s="134"/>
      <c r="BN97" s="134"/>
      <c r="BO97" s="134"/>
      <c r="BP97" s="135"/>
      <c r="BQ97" s="135"/>
      <c r="BR97" s="135"/>
      <c r="BS97" s="135"/>
      <c r="BT97" s="135"/>
      <c r="BU97" s="133"/>
      <c r="BV97" s="108"/>
      <c r="BW97" s="108"/>
      <c r="BX97" s="108"/>
      <c r="BY97" s="108"/>
      <c r="BZ97" s="108"/>
      <c r="CA97" s="108"/>
      <c r="CB97" s="118"/>
      <c r="CC97" s="118"/>
      <c r="CD97" s="120"/>
    </row>
    <row r="98" spans="1:82" ht="75" x14ac:dyDescent="0.25">
      <c r="A98" s="120"/>
      <c r="B98" s="120"/>
      <c r="C98" s="120"/>
      <c r="D98" s="120"/>
      <c r="E98" s="120"/>
      <c r="F98" s="120"/>
      <c r="G98" s="120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72" t="s">
        <v>700</v>
      </c>
      <c r="AD98" s="169" t="s">
        <v>701</v>
      </c>
      <c r="AE98" s="169" t="s">
        <v>548</v>
      </c>
      <c r="AF98" s="180" t="str">
        <f t="shared" si="11"/>
        <v>SG - APRIPISTA CON ATTREZZO SPIETRATRICE</v>
      </c>
      <c r="AG98" s="124"/>
      <c r="AH98" s="124"/>
      <c r="AI98" s="124"/>
      <c r="AJ98" s="124"/>
      <c r="AK98" s="124"/>
      <c r="AL98" s="124"/>
      <c r="AM98" s="124"/>
      <c r="AN98" s="124"/>
      <c r="AO98" s="124"/>
      <c r="AP98" s="120"/>
      <c r="AQ98" s="120"/>
      <c r="AR98" s="120"/>
      <c r="AS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73"/>
      <c r="BH98" s="132"/>
      <c r="BI98" s="132"/>
      <c r="BJ98" s="133"/>
      <c r="BK98" s="134"/>
      <c r="BL98" s="134"/>
      <c r="BM98" s="134"/>
      <c r="BN98" s="134"/>
      <c r="BO98" s="134"/>
      <c r="BP98" s="135"/>
      <c r="BQ98" s="135"/>
      <c r="BR98" s="135"/>
      <c r="BS98" s="135"/>
      <c r="BT98" s="135"/>
      <c r="BU98" s="133"/>
      <c r="BV98" s="108"/>
      <c r="BW98" s="108"/>
      <c r="BX98" s="108"/>
      <c r="BY98" s="108"/>
      <c r="BZ98" s="108"/>
      <c r="CA98" s="108"/>
      <c r="CB98" s="118"/>
      <c r="CC98" s="118"/>
      <c r="CD98" s="120"/>
    </row>
    <row r="99" spans="1:82" ht="75" x14ac:dyDescent="0.25">
      <c r="A99" s="120"/>
      <c r="B99" s="120"/>
      <c r="C99" s="120"/>
      <c r="D99" s="120"/>
      <c r="E99" s="120"/>
      <c r="F99" s="120"/>
      <c r="G99" s="120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72" t="s">
        <v>702</v>
      </c>
      <c r="AD99" s="169" t="s">
        <v>703</v>
      </c>
      <c r="AE99" s="169" t="s">
        <v>548</v>
      </c>
      <c r="AF99" s="180" t="str">
        <f t="shared" si="11"/>
        <v>SH - APRIPISTA CON ATTREZZO DECESPUGLIATRICE</v>
      </c>
      <c r="AG99" s="124"/>
      <c r="AH99" s="124"/>
      <c r="AI99" s="124"/>
      <c r="AJ99" s="124"/>
      <c r="AK99" s="124"/>
      <c r="AL99" s="124"/>
      <c r="AM99" s="124"/>
      <c r="AN99" s="124"/>
      <c r="AO99" s="124"/>
      <c r="AP99" s="120"/>
      <c r="AQ99" s="120"/>
      <c r="AR99" s="120"/>
      <c r="AS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73"/>
      <c r="BH99" s="132"/>
      <c r="BI99" s="132"/>
      <c r="BJ99" s="133"/>
      <c r="BK99" s="134"/>
      <c r="BL99" s="134"/>
      <c r="BM99" s="134"/>
      <c r="BN99" s="134"/>
      <c r="BO99" s="134"/>
      <c r="BP99" s="135"/>
      <c r="BQ99" s="135"/>
      <c r="BR99" s="135"/>
      <c r="BS99" s="135"/>
      <c r="BT99" s="135"/>
      <c r="BU99" s="133"/>
      <c r="BV99" s="108"/>
      <c r="BW99" s="108"/>
      <c r="BX99" s="108"/>
      <c r="BY99" s="108"/>
      <c r="BZ99" s="108"/>
      <c r="CA99" s="108"/>
      <c r="CB99" s="118"/>
      <c r="CC99" s="118"/>
      <c r="CD99" s="120"/>
    </row>
    <row r="100" spans="1:82" ht="90" x14ac:dyDescent="0.25">
      <c r="A100" s="120"/>
      <c r="B100" s="120"/>
      <c r="C100" s="120"/>
      <c r="D100" s="120"/>
      <c r="E100" s="120"/>
      <c r="F100" s="120"/>
      <c r="G100" s="120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72" t="s">
        <v>416</v>
      </c>
      <c r="AD100" s="169" t="s">
        <v>704</v>
      </c>
      <c r="AE100" s="169" t="s">
        <v>548</v>
      </c>
      <c r="AF100" s="180" t="str">
        <f t="shared" si="11"/>
        <v>SL - APRIPISTA CON ATTR. SPIETRATRICE E DECESPUGLIATRICE</v>
      </c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0"/>
      <c r="AQ100" s="120"/>
      <c r="AR100" s="120"/>
      <c r="AS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73"/>
      <c r="BH100" s="132"/>
      <c r="BI100" s="132"/>
      <c r="BJ100" s="133"/>
      <c r="BK100" s="134"/>
      <c r="BL100" s="134"/>
      <c r="BM100" s="134"/>
      <c r="BN100" s="134"/>
      <c r="BO100" s="134"/>
      <c r="BP100" s="135"/>
      <c r="BQ100" s="135"/>
      <c r="BR100" s="135"/>
      <c r="BS100" s="135"/>
      <c r="BT100" s="135"/>
      <c r="BU100" s="133"/>
      <c r="BV100" s="108"/>
      <c r="BW100" s="108"/>
      <c r="BX100" s="108"/>
      <c r="BY100" s="108"/>
      <c r="BZ100" s="108"/>
      <c r="CA100" s="108"/>
      <c r="CB100" s="118"/>
      <c r="CC100" s="118"/>
      <c r="CD100" s="120"/>
    </row>
    <row r="101" spans="1:82" ht="51.75" customHeight="1" x14ac:dyDescent="0.25">
      <c r="A101" s="120"/>
      <c r="B101" s="120"/>
      <c r="C101" s="120"/>
      <c r="D101" s="120"/>
      <c r="E101" s="120"/>
      <c r="F101" s="120"/>
      <c r="G101" s="120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72" t="s">
        <v>705</v>
      </c>
      <c r="AD101" s="169" t="s">
        <v>706</v>
      </c>
      <c r="AE101" s="169" t="s">
        <v>548</v>
      </c>
      <c r="AF101" s="180" t="str">
        <f t="shared" si="11"/>
        <v>TA - CASSONE</v>
      </c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0"/>
      <c r="AQ101" s="120"/>
      <c r="AR101" s="120"/>
      <c r="AS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73"/>
      <c r="BH101" s="132"/>
      <c r="BI101" s="132"/>
      <c r="BJ101" s="133"/>
      <c r="BK101" s="134"/>
      <c r="BL101" s="134"/>
      <c r="BM101" s="134"/>
      <c r="BN101" s="134"/>
      <c r="BO101" s="134"/>
      <c r="BP101" s="135"/>
      <c r="BQ101" s="135"/>
      <c r="BR101" s="135"/>
      <c r="BS101" s="135"/>
      <c r="BT101" s="135"/>
      <c r="BU101" s="133"/>
      <c r="BV101" s="108"/>
      <c r="BW101" s="108"/>
      <c r="BX101" s="108"/>
      <c r="BY101" s="108"/>
      <c r="BZ101" s="108"/>
      <c r="CA101" s="108"/>
      <c r="CB101" s="118"/>
      <c r="CC101" s="118"/>
      <c r="CD101" s="120"/>
    </row>
    <row r="102" spans="1:82" ht="45" x14ac:dyDescent="0.25">
      <c r="A102" s="120"/>
      <c r="B102" s="120"/>
      <c r="C102" s="120"/>
      <c r="D102" s="120"/>
      <c r="E102" s="120"/>
      <c r="F102" s="120"/>
      <c r="G102" s="120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72" t="s">
        <v>707</v>
      </c>
      <c r="AD102" s="169" t="s">
        <v>708</v>
      </c>
      <c r="AE102" s="169" t="s">
        <v>548</v>
      </c>
      <c r="AF102" s="180" t="str">
        <f t="shared" si="11"/>
        <v>TB - CASSONE AUTOCARICANTE</v>
      </c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0"/>
      <c r="AQ102" s="120"/>
      <c r="AR102" s="120"/>
      <c r="AS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73"/>
      <c r="BH102" s="132"/>
      <c r="BI102" s="132"/>
      <c r="BJ102" s="133"/>
      <c r="BK102" s="134"/>
      <c r="BL102" s="134"/>
      <c r="BM102" s="134"/>
      <c r="BN102" s="134"/>
      <c r="BO102" s="134"/>
      <c r="BP102" s="135"/>
      <c r="BQ102" s="135"/>
      <c r="BR102" s="135"/>
      <c r="BS102" s="135"/>
      <c r="BT102" s="135"/>
      <c r="BU102" s="133"/>
      <c r="BV102" s="108"/>
      <c r="BW102" s="108"/>
      <c r="BX102" s="108"/>
      <c r="BY102" s="108"/>
      <c r="BZ102" s="108"/>
      <c r="CA102" s="108"/>
      <c r="CB102" s="118"/>
      <c r="CC102" s="118"/>
      <c r="CD102" s="120"/>
    </row>
    <row r="103" spans="1:82" ht="75" x14ac:dyDescent="0.25">
      <c r="A103" s="120"/>
      <c r="B103" s="120"/>
      <c r="C103" s="120"/>
      <c r="D103" s="120"/>
      <c r="E103" s="120"/>
      <c r="F103" s="120"/>
      <c r="G103" s="120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72" t="s">
        <v>709</v>
      </c>
      <c r="AD103" s="169" t="s">
        <v>710</v>
      </c>
      <c r="AE103" s="169" t="s">
        <v>548</v>
      </c>
      <c r="AF103" s="180" t="str">
        <f t="shared" si="11"/>
        <v>TG - CASSONE CON POSTO DI GUIDA INVERTIBILE</v>
      </c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0"/>
      <c r="AQ103" s="120"/>
      <c r="AR103" s="120"/>
      <c r="AS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73"/>
      <c r="BH103" s="132"/>
      <c r="BI103" s="132"/>
      <c r="BJ103" s="133"/>
      <c r="BK103" s="134"/>
      <c r="BL103" s="134"/>
      <c r="BM103" s="134"/>
      <c r="BN103" s="134"/>
      <c r="BO103" s="134"/>
      <c r="BP103" s="135"/>
      <c r="BQ103" s="135"/>
      <c r="BR103" s="135"/>
      <c r="BS103" s="135"/>
      <c r="BT103" s="135"/>
      <c r="BU103" s="133"/>
      <c r="BV103" s="108"/>
      <c r="BW103" s="108"/>
      <c r="BX103" s="108"/>
      <c r="BY103" s="108"/>
      <c r="BZ103" s="108"/>
      <c r="CA103" s="108"/>
      <c r="CB103" s="118"/>
      <c r="CC103" s="118"/>
      <c r="CD103" s="120"/>
    </row>
    <row r="104" spans="1:82" ht="105" x14ac:dyDescent="0.25">
      <c r="A104" s="120"/>
      <c r="B104" s="120"/>
      <c r="C104" s="120"/>
      <c r="D104" s="120"/>
      <c r="E104" s="120"/>
      <c r="F104" s="120"/>
      <c r="G104" s="120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72" t="s">
        <v>711</v>
      </c>
      <c r="AD104" s="169" t="s">
        <v>712</v>
      </c>
      <c r="AE104" s="169" t="s">
        <v>548</v>
      </c>
      <c r="AF104" s="180" t="str">
        <f t="shared" si="11"/>
        <v>TH - CASSONE AUTOCARICANTE CON POSTO DI GUIDA INVERTIBILE</v>
      </c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0"/>
      <c r="AQ104" s="120"/>
      <c r="AR104" s="120"/>
      <c r="AS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12"/>
      <c r="BH104" s="132"/>
      <c r="BI104" s="132"/>
      <c r="BJ104" s="133"/>
      <c r="BK104" s="136"/>
      <c r="BL104" s="134"/>
      <c r="BM104" s="134"/>
      <c r="BN104" s="134"/>
      <c r="BO104" s="134"/>
      <c r="BP104" s="135"/>
      <c r="BQ104" s="135"/>
      <c r="BR104" s="135"/>
      <c r="BS104" s="135"/>
      <c r="BT104" s="135"/>
      <c r="BU104" s="133"/>
      <c r="BV104" s="108"/>
      <c r="BW104" s="108"/>
      <c r="BX104" s="108"/>
      <c r="BY104" s="108"/>
      <c r="BZ104" s="108"/>
      <c r="CA104" s="108"/>
      <c r="CB104" s="118"/>
      <c r="CC104" s="118"/>
      <c r="CD104" s="120"/>
    </row>
    <row r="105" spans="1:82" ht="30" x14ac:dyDescent="0.25">
      <c r="A105" s="120"/>
      <c r="B105" s="120"/>
      <c r="C105" s="120"/>
      <c r="D105" s="120"/>
      <c r="E105" s="120"/>
      <c r="F105" s="120"/>
      <c r="G105" s="120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72" t="s">
        <v>713</v>
      </c>
      <c r="AD105" s="169" t="s">
        <v>714</v>
      </c>
      <c r="AE105" s="169"/>
      <c r="AF105" s="180" t="str">
        <f t="shared" si="11"/>
        <v>TM - MOTOCARRIOLA</v>
      </c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0"/>
      <c r="AQ105" s="120"/>
      <c r="AR105" s="120"/>
      <c r="AS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73"/>
      <c r="BH105" s="132"/>
      <c r="BI105" s="132"/>
      <c r="BJ105" s="133"/>
      <c r="BK105" s="136"/>
      <c r="BL105" s="134"/>
      <c r="BM105" s="134"/>
      <c r="BN105" s="134"/>
      <c r="BO105" s="134"/>
      <c r="BP105" s="135"/>
      <c r="BQ105" s="135"/>
      <c r="BR105" s="135"/>
      <c r="BS105" s="135"/>
      <c r="BT105" s="135"/>
      <c r="BU105" s="133"/>
      <c r="BV105" s="108"/>
      <c r="BW105" s="108"/>
      <c r="BX105" s="108"/>
      <c r="BY105" s="108"/>
      <c r="BZ105" s="108"/>
      <c r="CA105" s="108"/>
      <c r="CB105" s="118"/>
      <c r="CC105" s="118"/>
      <c r="CD105" s="120"/>
    </row>
    <row r="106" spans="1:82" x14ac:dyDescent="0.25">
      <c r="A106" s="120"/>
      <c r="B106" s="120"/>
      <c r="C106" s="120"/>
      <c r="D106" s="120"/>
      <c r="E106" s="120"/>
      <c r="F106" s="120"/>
      <c r="G106" s="120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72" t="s">
        <v>715</v>
      </c>
      <c r="AD106" s="169" t="s">
        <v>716</v>
      </c>
      <c r="AE106" s="169"/>
      <c r="AF106" s="180" t="str">
        <f t="shared" si="11"/>
        <v xml:space="preserve">TR - RIMORCHIO </v>
      </c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0"/>
      <c r="AQ106" s="120"/>
      <c r="AR106" s="120"/>
      <c r="AS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73"/>
      <c r="BH106" s="132"/>
      <c r="BI106" s="132"/>
      <c r="BJ106" s="133"/>
      <c r="BK106" s="136"/>
      <c r="BL106" s="134"/>
      <c r="BM106" s="134"/>
      <c r="BN106" s="134"/>
      <c r="BO106" s="134"/>
      <c r="BP106" s="135"/>
      <c r="BQ106" s="135"/>
      <c r="BR106" s="135"/>
      <c r="BS106" s="135"/>
      <c r="BT106" s="135"/>
      <c r="BU106" s="133"/>
      <c r="BV106" s="108"/>
      <c r="BW106" s="108"/>
      <c r="BX106" s="108"/>
      <c r="BY106" s="108"/>
      <c r="BZ106" s="108"/>
      <c r="CA106" s="108"/>
      <c r="CB106" s="118"/>
      <c r="CC106" s="118"/>
      <c r="CD106" s="120"/>
    </row>
    <row r="107" spans="1:82" ht="30" x14ac:dyDescent="0.25">
      <c r="A107" s="120"/>
      <c r="B107" s="120"/>
      <c r="C107" s="120"/>
      <c r="D107" s="120"/>
      <c r="E107" s="120"/>
      <c r="F107" s="120"/>
      <c r="G107" s="120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72" t="s">
        <v>717</v>
      </c>
      <c r="AD107" s="169" t="s">
        <v>718</v>
      </c>
      <c r="AE107" s="169"/>
      <c r="AF107" s="180" t="str">
        <f t="shared" si="11"/>
        <v xml:space="preserve">TS - SEMIRIMORCHIO </v>
      </c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0"/>
      <c r="AQ107" s="120"/>
      <c r="AR107" s="120"/>
      <c r="AS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73"/>
      <c r="BH107" s="132"/>
      <c r="BI107" s="132"/>
      <c r="BJ107" s="133"/>
      <c r="BK107" s="136"/>
      <c r="BL107" s="134"/>
      <c r="BM107" s="134"/>
      <c r="BN107" s="134"/>
      <c r="BO107" s="134"/>
      <c r="BP107" s="135"/>
      <c r="BQ107" s="135"/>
      <c r="BR107" s="135"/>
      <c r="BS107" s="135"/>
      <c r="BT107" s="135"/>
      <c r="BU107" s="133"/>
      <c r="BV107" s="108"/>
      <c r="BW107" s="108"/>
      <c r="BX107" s="108"/>
      <c r="BY107" s="108"/>
      <c r="BZ107" s="108"/>
      <c r="CA107" s="108"/>
      <c r="CB107" s="118"/>
      <c r="CC107" s="118"/>
      <c r="CD107" s="120"/>
    </row>
    <row r="108" spans="1:82" ht="60" x14ac:dyDescent="0.25">
      <c r="A108" s="120"/>
      <c r="B108" s="120"/>
      <c r="C108" s="120"/>
      <c r="D108" s="120"/>
      <c r="E108" s="120"/>
      <c r="F108" s="120"/>
      <c r="G108" s="120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72" t="s">
        <v>719</v>
      </c>
      <c r="AD108" s="169" t="s">
        <v>720</v>
      </c>
      <c r="AE108" s="169"/>
      <c r="AF108" s="180" t="str">
        <f t="shared" si="11"/>
        <v xml:space="preserve">TX - CARRELLO TRATTORE PER RIMORCHIO </v>
      </c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0"/>
      <c r="AQ108" s="120"/>
      <c r="AR108" s="120"/>
      <c r="AS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73"/>
      <c r="BH108" s="132"/>
      <c r="BI108" s="132"/>
      <c r="BJ108" s="133"/>
      <c r="BK108" s="136"/>
      <c r="BL108" s="134"/>
      <c r="BM108" s="134"/>
      <c r="BN108" s="134"/>
      <c r="BO108" s="134"/>
      <c r="BP108" s="135"/>
      <c r="BQ108" s="135"/>
      <c r="BR108" s="135"/>
      <c r="BS108" s="135"/>
      <c r="BT108" s="135"/>
      <c r="BU108" s="133"/>
      <c r="BV108" s="108"/>
      <c r="BW108" s="108"/>
      <c r="BX108" s="108"/>
      <c r="BY108" s="108"/>
      <c r="BZ108" s="108"/>
      <c r="CA108" s="108"/>
      <c r="CB108" s="118"/>
      <c r="CC108" s="118"/>
      <c r="CD108" s="120"/>
    </row>
    <row r="109" spans="1:82" ht="75" x14ac:dyDescent="0.25">
      <c r="A109" s="120"/>
      <c r="B109" s="120"/>
      <c r="C109" s="120"/>
      <c r="D109" s="120"/>
      <c r="E109" s="120"/>
      <c r="F109" s="120"/>
      <c r="G109" s="120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72" t="s">
        <v>721</v>
      </c>
      <c r="AD109" s="169" t="s">
        <v>722</v>
      </c>
      <c r="AE109" s="169"/>
      <c r="AF109" s="180" t="str">
        <f t="shared" si="11"/>
        <v xml:space="preserve">TY - CARRELLO TRATTORE PER SEMIRIMORCHI </v>
      </c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0"/>
      <c r="AQ109" s="120"/>
      <c r="AR109" s="120"/>
      <c r="AS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73"/>
      <c r="BH109" s="132"/>
      <c r="BI109" s="132"/>
      <c r="BJ109" s="133"/>
      <c r="BK109" s="134"/>
      <c r="BL109" s="134"/>
      <c r="BM109" s="134"/>
      <c r="BN109" s="134"/>
      <c r="BO109" s="134"/>
      <c r="BP109" s="135"/>
      <c r="BQ109" s="135"/>
      <c r="BR109" s="135"/>
      <c r="BS109" s="135"/>
      <c r="BT109" s="135"/>
      <c r="BU109" s="133"/>
      <c r="BV109" s="108"/>
      <c r="BW109" s="108"/>
      <c r="BX109" s="108"/>
      <c r="BY109" s="108"/>
      <c r="BZ109" s="108"/>
      <c r="CA109" s="108"/>
      <c r="CB109" s="118"/>
      <c r="CC109" s="118"/>
      <c r="CD109" s="120"/>
    </row>
    <row r="110" spans="1:82" ht="45" x14ac:dyDescent="0.25">
      <c r="A110" s="120"/>
      <c r="B110" s="120"/>
      <c r="C110" s="120"/>
      <c r="D110" s="120"/>
      <c r="E110" s="120"/>
      <c r="F110" s="120"/>
      <c r="G110" s="120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72" t="s">
        <v>723</v>
      </c>
      <c r="AD110" s="169" t="s">
        <v>724</v>
      </c>
      <c r="AE110" s="169"/>
      <c r="AF110" s="180" t="str">
        <f t="shared" si="11"/>
        <v>VA - CARRELLO CON FORCHE</v>
      </c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0"/>
      <c r="AQ110" s="120"/>
      <c r="AR110" s="120"/>
      <c r="AS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73"/>
      <c r="BH110" s="132"/>
      <c r="BI110" s="132"/>
      <c r="BJ110" s="133"/>
      <c r="BK110" s="134"/>
      <c r="BL110" s="134"/>
      <c r="BM110" s="134"/>
      <c r="BN110" s="134"/>
      <c r="BO110" s="134"/>
      <c r="BP110" s="135"/>
      <c r="BQ110" s="135"/>
      <c r="BR110" s="135"/>
      <c r="BS110" s="135"/>
      <c r="BT110" s="135"/>
      <c r="BU110" s="133"/>
      <c r="BV110" s="108"/>
      <c r="BW110" s="108"/>
      <c r="BX110" s="108"/>
      <c r="BY110" s="108"/>
      <c r="BZ110" s="108"/>
      <c r="CA110" s="108"/>
      <c r="CB110" s="118"/>
      <c r="CC110" s="118"/>
      <c r="CD110" s="120"/>
    </row>
    <row r="111" spans="1:82" ht="60" x14ac:dyDescent="0.25">
      <c r="A111" s="120"/>
      <c r="B111" s="120"/>
      <c r="C111" s="120"/>
      <c r="D111" s="120"/>
      <c r="E111" s="120"/>
      <c r="F111" s="120"/>
      <c r="G111" s="120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72" t="s">
        <v>725</v>
      </c>
      <c r="AD111" s="169" t="s">
        <v>726</v>
      </c>
      <c r="AE111" s="169"/>
      <c r="AF111" s="180" t="str">
        <f t="shared" si="11"/>
        <v xml:space="preserve">VB - CARRELLO CON PIATTAFORMA </v>
      </c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0"/>
      <c r="AQ111" s="120"/>
      <c r="AR111" s="120"/>
      <c r="AS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73"/>
      <c r="BH111" s="132"/>
      <c r="BI111" s="132"/>
      <c r="BJ111" s="133"/>
      <c r="BK111" s="134"/>
      <c r="BL111" s="134"/>
      <c r="BM111" s="134"/>
      <c r="BN111" s="134"/>
      <c r="BO111" s="134"/>
      <c r="BP111" s="135"/>
      <c r="BQ111" s="135"/>
      <c r="BR111" s="135"/>
      <c r="BS111" s="135"/>
      <c r="BT111" s="135"/>
      <c r="BU111" s="133"/>
      <c r="BV111" s="108"/>
      <c r="BW111" s="108"/>
      <c r="BX111" s="108"/>
      <c r="BY111" s="108"/>
      <c r="BZ111" s="108"/>
      <c r="CA111" s="108"/>
      <c r="CB111" s="118"/>
      <c r="CC111" s="118"/>
      <c r="CD111" s="120"/>
    </row>
    <row r="112" spans="1:82" ht="75" x14ac:dyDescent="0.25">
      <c r="A112" s="120"/>
      <c r="B112" s="120"/>
      <c r="C112" s="120"/>
      <c r="D112" s="120"/>
      <c r="E112" s="120"/>
      <c r="F112" s="120"/>
      <c r="G112" s="120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72" t="s">
        <v>727</v>
      </c>
      <c r="AD112" s="169" t="s">
        <v>728</v>
      </c>
      <c r="AE112" s="169"/>
      <c r="AF112" s="180" t="str">
        <f t="shared" si="11"/>
        <v xml:space="preserve">VC - CARRELLO CON PORTALE PORTATTREZZI </v>
      </c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0"/>
      <c r="AQ112" s="120"/>
      <c r="AR112" s="120"/>
      <c r="AS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73"/>
      <c r="BH112" s="132"/>
      <c r="BI112" s="132"/>
      <c r="BJ112" s="133"/>
      <c r="BK112" s="134"/>
      <c r="BL112" s="134"/>
      <c r="BM112" s="134"/>
      <c r="BN112" s="134"/>
      <c r="BO112" s="134"/>
      <c r="BP112" s="135"/>
      <c r="BQ112" s="135"/>
      <c r="BR112" s="135"/>
      <c r="BS112" s="135"/>
      <c r="BT112" s="135"/>
      <c r="BU112" s="133"/>
      <c r="BV112" s="108"/>
      <c r="BW112" s="108"/>
      <c r="BX112" s="108"/>
      <c r="BY112" s="108"/>
      <c r="BZ112" s="108"/>
      <c r="CA112" s="108"/>
      <c r="CB112" s="118"/>
      <c r="CC112" s="118"/>
      <c r="CD112" s="120"/>
    </row>
    <row r="113" spans="1:82" ht="105" x14ac:dyDescent="0.25">
      <c r="A113" s="120"/>
      <c r="B113" s="120"/>
      <c r="C113" s="120"/>
      <c r="D113" s="120"/>
      <c r="E113" s="120"/>
      <c r="F113" s="120"/>
      <c r="G113" s="120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72" t="s">
        <v>729</v>
      </c>
      <c r="AD113" s="169" t="s">
        <v>730</v>
      </c>
      <c r="AE113" s="169"/>
      <c r="AF113" s="180" t="str">
        <f t="shared" si="11"/>
        <v>VD - CARRELLO CON SOLLEVATORE A BRACCIO TELESCOPICO</v>
      </c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0"/>
      <c r="AQ113" s="120"/>
      <c r="AR113" s="120"/>
      <c r="AS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73"/>
      <c r="BH113" s="132"/>
      <c r="BI113" s="132"/>
      <c r="BJ113" s="133"/>
      <c r="BK113" s="134"/>
      <c r="BL113" s="134"/>
      <c r="BM113" s="134"/>
      <c r="BN113" s="134"/>
      <c r="BO113" s="134"/>
      <c r="BP113" s="135"/>
      <c r="BQ113" s="135"/>
      <c r="BR113" s="135"/>
      <c r="BS113" s="135"/>
      <c r="BT113" s="135"/>
      <c r="BU113" s="133"/>
      <c r="BV113" s="108"/>
      <c r="BW113" s="108"/>
      <c r="BX113" s="108"/>
      <c r="BY113" s="108"/>
      <c r="BZ113" s="108"/>
      <c r="CA113" s="108"/>
      <c r="CB113" s="118"/>
      <c r="CC113" s="118"/>
      <c r="CD113" s="120"/>
    </row>
    <row r="114" spans="1:82" ht="30" x14ac:dyDescent="0.25">
      <c r="A114" s="120"/>
      <c r="B114" s="120"/>
      <c r="C114" s="120"/>
      <c r="D114" s="120"/>
      <c r="E114" s="120"/>
      <c r="F114" s="120"/>
      <c r="G114" s="120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72" t="s">
        <v>731</v>
      </c>
      <c r="AD114" s="169" t="s">
        <v>732</v>
      </c>
      <c r="AE114" s="169"/>
      <c r="AF114" s="180" t="str">
        <f t="shared" si="11"/>
        <v xml:space="preserve">VT - CARRELLO TRATTORE </v>
      </c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0"/>
      <c r="AQ114" s="120"/>
      <c r="AR114" s="120"/>
      <c r="AS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73"/>
      <c r="BH114" s="132"/>
      <c r="BI114" s="132"/>
      <c r="BJ114" s="133"/>
      <c r="BK114" s="134"/>
      <c r="BL114" s="134"/>
      <c r="BM114" s="134"/>
      <c r="BN114" s="134"/>
      <c r="BO114" s="134"/>
      <c r="BP114" s="135"/>
      <c r="BQ114" s="135"/>
      <c r="BR114" s="135"/>
      <c r="BS114" s="135"/>
      <c r="BT114" s="135"/>
      <c r="BU114" s="133"/>
      <c r="BV114" s="108"/>
      <c r="BW114" s="108"/>
      <c r="BX114" s="108"/>
      <c r="BY114" s="108"/>
      <c r="BZ114" s="108"/>
      <c r="CA114" s="108"/>
      <c r="CB114" s="118"/>
      <c r="CC114" s="118"/>
      <c r="CD114" s="120"/>
    </row>
    <row r="115" spans="1:82" ht="30" x14ac:dyDescent="0.25">
      <c r="A115" s="120"/>
      <c r="B115" s="120"/>
      <c r="C115" s="120"/>
      <c r="D115" s="120"/>
      <c r="E115" s="120"/>
      <c r="F115" s="120"/>
      <c r="G115" s="120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72" t="s">
        <v>733</v>
      </c>
      <c r="AD115" s="169" t="s">
        <v>734</v>
      </c>
      <c r="AE115" s="169" t="s">
        <v>548</v>
      </c>
      <c r="AF115" s="180" t="str">
        <f t="shared" si="11"/>
        <v>XE - RUSPA CON ELEVATORE</v>
      </c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0"/>
      <c r="AQ115" s="120"/>
      <c r="AR115" s="120"/>
      <c r="AS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73"/>
      <c r="BH115" s="132"/>
      <c r="BI115" s="132"/>
      <c r="BJ115" s="133"/>
      <c r="BK115" s="134"/>
      <c r="BL115" s="134"/>
      <c r="BM115" s="134"/>
      <c r="BN115" s="134"/>
      <c r="BO115" s="134"/>
      <c r="BP115" s="135"/>
      <c r="BQ115" s="135"/>
      <c r="BR115" s="135"/>
      <c r="BS115" s="135"/>
      <c r="BT115" s="135"/>
      <c r="BU115" s="133"/>
      <c r="BV115" s="108"/>
      <c r="BW115" s="108"/>
      <c r="BX115" s="108"/>
      <c r="BY115" s="108"/>
      <c r="BZ115" s="108"/>
      <c r="CA115" s="108"/>
      <c r="CB115" s="118"/>
      <c r="CC115" s="118"/>
      <c r="CD115" s="120"/>
    </row>
    <row r="116" spans="1:82" ht="75" x14ac:dyDescent="0.25">
      <c r="A116" s="120"/>
      <c r="B116" s="120"/>
      <c r="C116" s="120"/>
      <c r="D116" s="120"/>
      <c r="E116" s="120"/>
      <c r="F116" s="120"/>
      <c r="G116" s="120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72" t="s">
        <v>735</v>
      </c>
      <c r="AD116" s="169" t="s">
        <v>736</v>
      </c>
      <c r="AE116" s="169"/>
      <c r="AF116" s="180" t="str">
        <f t="shared" si="11"/>
        <v xml:space="preserve">XM - MOTOCARRIOLA CON BRACCIO ESCAVATORE </v>
      </c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0"/>
      <c r="AQ116" s="120"/>
      <c r="AR116" s="120"/>
      <c r="AS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73"/>
      <c r="BH116" s="132"/>
      <c r="BI116" s="132"/>
      <c r="BJ116" s="133"/>
      <c r="BK116" s="134"/>
      <c r="BL116" s="134"/>
      <c r="BM116" s="134"/>
      <c r="BN116" s="134"/>
      <c r="BO116" s="134"/>
      <c r="BP116" s="135"/>
      <c r="BQ116" s="135"/>
      <c r="BR116" s="135"/>
      <c r="BS116" s="135"/>
      <c r="BT116" s="135"/>
      <c r="BU116" s="133"/>
      <c r="BV116" s="108"/>
      <c r="BW116" s="108"/>
      <c r="BX116" s="108"/>
      <c r="BY116" s="108"/>
      <c r="BZ116" s="108"/>
      <c r="CA116" s="108"/>
      <c r="CB116" s="118"/>
      <c r="CC116" s="118"/>
      <c r="CD116" s="120"/>
    </row>
    <row r="117" spans="1:82" ht="30" x14ac:dyDescent="0.25">
      <c r="A117" s="120"/>
      <c r="B117" s="120"/>
      <c r="C117" s="120"/>
      <c r="D117" s="120"/>
      <c r="E117" s="120"/>
      <c r="F117" s="120"/>
      <c r="G117" s="120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72" t="s">
        <v>737</v>
      </c>
      <c r="AD117" s="169" t="s">
        <v>738</v>
      </c>
      <c r="AE117" s="169" t="s">
        <v>548</v>
      </c>
      <c r="AF117" s="180" t="str">
        <f t="shared" si="11"/>
        <v>ZA - CARICATORE</v>
      </c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0"/>
      <c r="AQ117" s="120"/>
      <c r="AR117" s="120"/>
      <c r="AS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73"/>
      <c r="BH117" s="132"/>
      <c r="BI117" s="132"/>
      <c r="BJ117" s="133"/>
      <c r="BK117" s="134"/>
      <c r="BL117" s="134"/>
      <c r="BM117" s="134"/>
      <c r="BN117" s="134"/>
      <c r="BO117" s="134"/>
      <c r="BP117" s="135"/>
      <c r="BQ117" s="135"/>
      <c r="BR117" s="135"/>
      <c r="BS117" s="135"/>
      <c r="BT117" s="135"/>
      <c r="BU117" s="133"/>
      <c r="BV117" s="108"/>
      <c r="BW117" s="108"/>
      <c r="BX117" s="108"/>
      <c r="BY117" s="108"/>
      <c r="BZ117" s="108"/>
      <c r="CA117" s="108"/>
      <c r="CB117" s="118"/>
      <c r="CC117" s="118"/>
      <c r="CD117" s="120"/>
    </row>
    <row r="118" spans="1:82" ht="30" x14ac:dyDescent="0.25">
      <c r="A118" s="120"/>
      <c r="B118" s="120"/>
      <c r="C118" s="120"/>
      <c r="D118" s="120"/>
      <c r="E118" s="120"/>
      <c r="F118" s="120"/>
      <c r="G118" s="120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72" t="s">
        <v>739</v>
      </c>
      <c r="AD118" s="169" t="s">
        <v>580</v>
      </c>
      <c r="AE118" s="169" t="s">
        <v>548</v>
      </c>
      <c r="AF118" s="180" t="str">
        <f t="shared" si="11"/>
        <v>ZB - CARICATORE A BENNA</v>
      </c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0"/>
      <c r="AQ118" s="120"/>
      <c r="AR118" s="120"/>
      <c r="AS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73"/>
      <c r="BH118" s="132"/>
      <c r="BI118" s="132"/>
      <c r="BJ118" s="133"/>
      <c r="BK118" s="134"/>
      <c r="BL118" s="134"/>
      <c r="BM118" s="134"/>
      <c r="BN118" s="134"/>
      <c r="BO118" s="134"/>
      <c r="BP118" s="135"/>
      <c r="BQ118" s="135"/>
      <c r="BR118" s="135"/>
      <c r="BS118" s="135"/>
      <c r="BT118" s="135"/>
      <c r="BU118" s="133"/>
      <c r="BV118" s="108"/>
      <c r="BW118" s="108"/>
      <c r="BX118" s="108"/>
      <c r="BY118" s="108"/>
      <c r="BZ118" s="108"/>
      <c r="CA118" s="108"/>
      <c r="CB118" s="118"/>
      <c r="CC118" s="118"/>
      <c r="CD118" s="120"/>
    </row>
    <row r="119" spans="1:82" ht="45" x14ac:dyDescent="0.25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72" t="s">
        <v>740</v>
      </c>
      <c r="AD119" s="169" t="s">
        <v>741</v>
      </c>
      <c r="AE119" s="169" t="s">
        <v>548</v>
      </c>
      <c r="AF119" s="180" t="str">
        <f t="shared" si="11"/>
        <v>ZC - PALA CARICATRICE</v>
      </c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73"/>
      <c r="BH119" s="132"/>
      <c r="BI119" s="132"/>
      <c r="BJ119" s="133"/>
      <c r="BK119" s="134"/>
      <c r="BL119" s="134"/>
      <c r="BM119" s="134"/>
      <c r="BN119" s="134"/>
      <c r="BO119" s="134"/>
      <c r="BP119" s="135"/>
      <c r="BQ119" s="135"/>
      <c r="BR119" s="135"/>
      <c r="BS119" s="135"/>
      <c r="BT119" s="135"/>
      <c r="BU119" s="133"/>
      <c r="BV119" s="108"/>
      <c r="BW119" s="108"/>
      <c r="BX119" s="108"/>
      <c r="BY119" s="108"/>
      <c r="BZ119" s="108"/>
      <c r="CA119" s="108"/>
      <c r="CB119" s="118"/>
      <c r="CC119" s="118"/>
      <c r="CD119" s="120"/>
    </row>
    <row r="120" spans="1:82" ht="45" x14ac:dyDescent="0.2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72" t="s">
        <v>742</v>
      </c>
      <c r="AD120" s="169" t="s">
        <v>743</v>
      </c>
      <c r="AE120" s="169" t="s">
        <v>548</v>
      </c>
      <c r="AF120" s="180" t="str">
        <f t="shared" si="11"/>
        <v>ZD - CARICATORE A CUCCHIAIA</v>
      </c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73"/>
      <c r="BH120" s="132"/>
      <c r="BI120" s="132"/>
      <c r="BJ120" s="133"/>
      <c r="BK120" s="134"/>
      <c r="BL120" s="134"/>
      <c r="BM120" s="134"/>
      <c r="BN120" s="134"/>
      <c r="BO120" s="134"/>
      <c r="BP120" s="135"/>
      <c r="BQ120" s="135"/>
      <c r="BR120" s="135"/>
      <c r="BS120" s="135"/>
      <c r="BT120" s="135"/>
      <c r="BU120" s="133"/>
      <c r="BV120" s="108"/>
      <c r="BW120" s="108"/>
      <c r="BX120" s="108"/>
      <c r="BY120" s="108"/>
      <c r="BZ120" s="108"/>
      <c r="CA120" s="108"/>
      <c r="CB120" s="118"/>
      <c r="CC120" s="118"/>
      <c r="CD120" s="120"/>
    </row>
    <row r="121" spans="1:82" ht="60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72" t="s">
        <v>744</v>
      </c>
      <c r="AD121" s="169" t="s">
        <v>745</v>
      </c>
      <c r="AE121" s="169" t="s">
        <v>548</v>
      </c>
      <c r="AF121" s="180" t="str">
        <f t="shared" si="11"/>
        <v>ZE - CARICATORE A CUCCHIAIA-BENNA</v>
      </c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73"/>
      <c r="BH121" s="132"/>
      <c r="BI121" s="132"/>
      <c r="BJ121" s="133"/>
      <c r="BK121" s="134"/>
      <c r="BL121" s="134"/>
      <c r="BM121" s="134"/>
      <c r="BN121" s="134"/>
      <c r="BO121" s="134"/>
      <c r="BP121" s="135"/>
      <c r="BQ121" s="135"/>
      <c r="BR121" s="135"/>
      <c r="BS121" s="135"/>
      <c r="BT121" s="135"/>
      <c r="BU121" s="133"/>
      <c r="BV121" s="108"/>
      <c r="BW121" s="108"/>
      <c r="BX121" s="108"/>
      <c r="BY121" s="108"/>
      <c r="BZ121" s="108"/>
      <c r="CA121" s="108"/>
      <c r="CB121" s="118"/>
      <c r="CC121" s="118"/>
      <c r="CD121" s="120"/>
    </row>
    <row r="122" spans="1:82" ht="105" x14ac:dyDescent="0.25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72" t="s">
        <v>746</v>
      </c>
      <c r="AD122" s="169" t="s">
        <v>747</v>
      </c>
      <c r="AE122" s="169" t="s">
        <v>548</v>
      </c>
      <c r="AF122" s="180" t="str">
        <f t="shared" si="11"/>
        <v>ZF - CARICATORE CON ATTR. INTERCAMBIABILE DI SOLLEVAMENTO</v>
      </c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73"/>
      <c r="BH122" s="132"/>
      <c r="BI122" s="132"/>
      <c r="BJ122" s="133"/>
      <c r="BK122" s="134"/>
      <c r="BL122" s="134"/>
      <c r="BM122" s="134"/>
      <c r="BN122" s="134"/>
      <c r="BO122" s="134"/>
      <c r="BP122" s="135"/>
      <c r="BQ122" s="135"/>
      <c r="BR122" s="135"/>
      <c r="BS122" s="135"/>
      <c r="BT122" s="135"/>
      <c r="BU122" s="133"/>
      <c r="BV122" s="108"/>
      <c r="BW122" s="108"/>
      <c r="BX122" s="108"/>
      <c r="BY122" s="108"/>
      <c r="BZ122" s="108"/>
      <c r="CA122" s="108"/>
      <c r="CB122" s="118"/>
      <c r="CC122" s="118"/>
      <c r="CD122" s="120"/>
    </row>
    <row r="123" spans="1:82" ht="105" x14ac:dyDescent="0.25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72" t="s">
        <v>746</v>
      </c>
      <c r="AD123" s="169" t="s">
        <v>747</v>
      </c>
      <c r="AE123" s="169" t="s">
        <v>548</v>
      </c>
      <c r="AF123" s="180" t="str">
        <f t="shared" si="11"/>
        <v>ZF - CARICATORE CON ATTR. INTERCAMBIABILE DI SOLLEVAMENTO</v>
      </c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73"/>
      <c r="BH123" s="132"/>
      <c r="BI123" s="132"/>
      <c r="BJ123" s="133"/>
      <c r="BK123" s="134"/>
      <c r="BL123" s="134"/>
      <c r="BM123" s="134"/>
      <c r="BN123" s="134"/>
      <c r="BO123" s="134"/>
      <c r="BP123" s="135"/>
      <c r="BQ123" s="135"/>
      <c r="BR123" s="135"/>
      <c r="BS123" s="135"/>
      <c r="BT123" s="135"/>
      <c r="BU123" s="133"/>
      <c r="BV123" s="108"/>
      <c r="BW123" s="108"/>
      <c r="BX123" s="108"/>
      <c r="BY123" s="108"/>
      <c r="BZ123" s="108"/>
      <c r="CA123" s="108"/>
      <c r="CB123" s="118"/>
      <c r="CC123" s="118"/>
      <c r="CD123" s="120"/>
    </row>
    <row r="124" spans="1:82" x14ac:dyDescent="0.25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63"/>
      <c r="CD124" s="63"/>
    </row>
    <row r="125" spans="1:82" x14ac:dyDescent="0.25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19"/>
      <c r="CD125" s="119"/>
    </row>
    <row r="126" spans="1:82" x14ac:dyDescent="0.25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</row>
    <row r="127" spans="1:82" x14ac:dyDescent="0.25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</row>
    <row r="128" spans="1:82" x14ac:dyDescent="0.25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</row>
    <row r="129" spans="1:82" x14ac:dyDescent="0.25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</row>
    <row r="130" spans="1:82" x14ac:dyDescent="0.25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</row>
    <row r="131" spans="1:82" x14ac:dyDescent="0.25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</row>
    <row r="132" spans="1:82" x14ac:dyDescent="0.25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</row>
    <row r="133" spans="1:82" x14ac:dyDescent="0.25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</row>
    <row r="134" spans="1:82" x14ac:dyDescent="0.25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</row>
    <row r="135" spans="1:82" x14ac:dyDescent="0.25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</row>
    <row r="136" spans="1:82" x14ac:dyDescent="0.25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</row>
    <row r="137" spans="1:82" x14ac:dyDescent="0.25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</row>
    <row r="138" spans="1:82" x14ac:dyDescent="0.25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</row>
    <row r="139" spans="1:82" x14ac:dyDescent="0.25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</row>
    <row r="140" spans="1:82" x14ac:dyDescent="0.25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</row>
    <row r="141" spans="1:82" x14ac:dyDescent="0.25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</row>
    <row r="142" spans="1:82" x14ac:dyDescent="0.25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</row>
    <row r="143" spans="1:82" x14ac:dyDescent="0.25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</row>
    <row r="144" spans="1:82" x14ac:dyDescent="0.25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</row>
    <row r="145" spans="1:82" x14ac:dyDescent="0.25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</row>
    <row r="146" spans="1:82" x14ac:dyDescent="0.25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</row>
    <row r="147" spans="1:82" x14ac:dyDescent="0.25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</row>
    <row r="148" spans="1:82" x14ac:dyDescent="0.25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</row>
    <row r="149" spans="1:82" x14ac:dyDescent="0.25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</row>
    <row r="150" spans="1:82" x14ac:dyDescent="0.25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</row>
    <row r="151" spans="1:82" x14ac:dyDescent="0.25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</row>
    <row r="152" spans="1:82" x14ac:dyDescent="0.25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</row>
    <row r="153" spans="1:82" x14ac:dyDescent="0.25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</row>
    <row r="154" spans="1:82" x14ac:dyDescent="0.25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</row>
    <row r="155" spans="1:82" x14ac:dyDescent="0.25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</row>
    <row r="156" spans="1:82" x14ac:dyDescent="0.25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</row>
    <row r="157" spans="1:82" x14ac:dyDescent="0.25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</row>
    <row r="158" spans="1:82" x14ac:dyDescent="0.2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</row>
    <row r="159" spans="1:82" x14ac:dyDescent="0.25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</row>
    <row r="160" spans="1:82" x14ac:dyDescent="0.25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</row>
    <row r="161" spans="1:82" x14ac:dyDescent="0.25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</row>
    <row r="162" spans="1:82" x14ac:dyDescent="0.25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</row>
    <row r="163" spans="1:82" x14ac:dyDescent="0.25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</row>
    <row r="164" spans="1:82" x14ac:dyDescent="0.25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</row>
    <row r="165" spans="1:82" x14ac:dyDescent="0.25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</row>
    <row r="166" spans="1:82" x14ac:dyDescent="0.25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</row>
    <row r="167" spans="1:82" x14ac:dyDescent="0.25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</row>
    <row r="168" spans="1:82" x14ac:dyDescent="0.25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</row>
    <row r="169" spans="1:82" x14ac:dyDescent="0.25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</row>
    <row r="170" spans="1:82" x14ac:dyDescent="0.25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</row>
    <row r="171" spans="1:82" x14ac:dyDescent="0.25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</row>
    <row r="172" spans="1:82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</row>
    <row r="173" spans="1:82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</row>
    <row r="174" spans="1:82" x14ac:dyDescent="0.25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</row>
    <row r="175" spans="1:82" x14ac:dyDescent="0.2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</row>
    <row r="176" spans="1:82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</row>
    <row r="177" spans="1:82" x14ac:dyDescent="0.25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</row>
    <row r="178" spans="1:82" x14ac:dyDescent="0.2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</row>
    <row r="179" spans="1:82" x14ac:dyDescent="0.2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</row>
    <row r="180" spans="1:82" x14ac:dyDescent="0.25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</row>
    <row r="181" spans="1:82" x14ac:dyDescent="0.25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</row>
    <row r="182" spans="1:82" x14ac:dyDescent="0.25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</row>
    <row r="183" spans="1:82" x14ac:dyDescent="0.25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</row>
    <row r="184" spans="1:82" x14ac:dyDescent="0.25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</row>
    <row r="185" spans="1:82" x14ac:dyDescent="0.25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</row>
    <row r="186" spans="1:82" x14ac:dyDescent="0.25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</row>
    <row r="187" spans="1:82" x14ac:dyDescent="0.2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</row>
    <row r="188" spans="1:82" x14ac:dyDescent="0.25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</row>
    <row r="189" spans="1:82" x14ac:dyDescent="0.25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</row>
    <row r="190" spans="1:82" x14ac:dyDescent="0.25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</row>
    <row r="191" spans="1:82" x14ac:dyDescent="0.25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</row>
    <row r="192" spans="1:82" x14ac:dyDescent="0.25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</row>
    <row r="193" spans="1:82" x14ac:dyDescent="0.25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</row>
    <row r="194" spans="1:82" x14ac:dyDescent="0.25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</row>
    <row r="195" spans="1:82" x14ac:dyDescent="0.25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</row>
    <row r="196" spans="1:82" x14ac:dyDescent="0.25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</row>
    <row r="197" spans="1:82" x14ac:dyDescent="0.25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</row>
    <row r="198" spans="1:82" x14ac:dyDescent="0.25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</row>
    <row r="199" spans="1:82" x14ac:dyDescent="0.25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</row>
    <row r="200" spans="1:82" x14ac:dyDescent="0.25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</row>
    <row r="201" spans="1:82" x14ac:dyDescent="0.25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</row>
    <row r="202" spans="1:82" x14ac:dyDescent="0.25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</row>
    <row r="203" spans="1:82" x14ac:dyDescent="0.25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</row>
    <row r="204" spans="1:82" x14ac:dyDescent="0.25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</row>
    <row r="205" spans="1:82" x14ac:dyDescent="0.25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</row>
    <row r="206" spans="1:82" x14ac:dyDescent="0.25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</row>
    <row r="207" spans="1:82" x14ac:dyDescent="0.25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</row>
    <row r="208" spans="1:82" x14ac:dyDescent="0.25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</row>
    <row r="209" spans="1:82" x14ac:dyDescent="0.25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</row>
    <row r="210" spans="1:82" x14ac:dyDescent="0.25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</row>
    <row r="211" spans="1:82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</row>
    <row r="212" spans="1:82" x14ac:dyDescent="0.25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</row>
    <row r="213" spans="1:82" x14ac:dyDescent="0.25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</row>
    <row r="214" spans="1:82" x14ac:dyDescent="0.25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</row>
    <row r="215" spans="1:82" x14ac:dyDescent="0.25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</row>
    <row r="216" spans="1:82" x14ac:dyDescent="0.25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</row>
    <row r="217" spans="1:82" x14ac:dyDescent="0.25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</row>
    <row r="218" spans="1:82" x14ac:dyDescent="0.25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</row>
    <row r="219" spans="1:82" x14ac:dyDescent="0.25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</row>
    <row r="220" spans="1:82" x14ac:dyDescent="0.25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</row>
    <row r="221" spans="1:82" x14ac:dyDescent="0.25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</row>
    <row r="222" spans="1:82" x14ac:dyDescent="0.25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</row>
    <row r="223" spans="1:82" x14ac:dyDescent="0.25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</row>
    <row r="224" spans="1:82" x14ac:dyDescent="0.25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</row>
    <row r="225" spans="1:82" x14ac:dyDescent="0.25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</row>
    <row r="226" spans="1:82" x14ac:dyDescent="0.25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</row>
    <row r="227" spans="1:82" x14ac:dyDescent="0.25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</row>
    <row r="228" spans="1:82" x14ac:dyDescent="0.25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</row>
    <row r="229" spans="1:82" x14ac:dyDescent="0.25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</row>
    <row r="230" spans="1:82" x14ac:dyDescent="0.25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</row>
    <row r="231" spans="1:82" x14ac:dyDescent="0.25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</row>
    <row r="232" spans="1:82" x14ac:dyDescent="0.25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</row>
    <row r="233" spans="1:82" x14ac:dyDescent="0.25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</row>
    <row r="234" spans="1:82" x14ac:dyDescent="0.25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</row>
    <row r="235" spans="1:82" x14ac:dyDescent="0.25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</row>
    <row r="236" spans="1:82" x14ac:dyDescent="0.25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</row>
    <row r="237" spans="1:82" x14ac:dyDescent="0.25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</row>
    <row r="238" spans="1:82" x14ac:dyDescent="0.25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</row>
    <row r="239" spans="1:82" x14ac:dyDescent="0.25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</row>
    <row r="240" spans="1:82" x14ac:dyDescent="0.25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</row>
    <row r="241" spans="1:82" x14ac:dyDescent="0.25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</row>
    <row r="242" spans="1:82" x14ac:dyDescent="0.25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</row>
    <row r="243" spans="1:82" x14ac:dyDescent="0.25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</row>
    <row r="244" spans="1:82" x14ac:dyDescent="0.25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</row>
    <row r="245" spans="1:82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20"/>
      <c r="BW245" s="120"/>
      <c r="BX245" s="120"/>
      <c r="BY245" s="120"/>
      <c r="BZ245" s="120"/>
      <c r="CA245" s="120"/>
      <c r="CB245" s="120"/>
      <c r="CC245" s="120"/>
      <c r="CD245" s="120"/>
    </row>
    <row r="246" spans="1:82" x14ac:dyDescent="0.25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20"/>
      <c r="BW246" s="120"/>
      <c r="BX246" s="120"/>
      <c r="BY246" s="120"/>
      <c r="BZ246" s="120"/>
      <c r="CA246" s="120"/>
      <c r="CB246" s="120"/>
      <c r="CC246" s="120"/>
      <c r="CD246" s="120"/>
    </row>
    <row r="247" spans="1:82" x14ac:dyDescent="0.25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20"/>
      <c r="BW247" s="120"/>
      <c r="BX247" s="120"/>
      <c r="BY247" s="120"/>
      <c r="BZ247" s="120"/>
      <c r="CA247" s="120"/>
      <c r="CB247" s="120"/>
      <c r="CC247" s="120"/>
      <c r="CD247" s="120"/>
    </row>
    <row r="248" spans="1:82" x14ac:dyDescent="0.25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U248" s="120"/>
      <c r="AV248" s="120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20"/>
      <c r="BW248" s="120"/>
      <c r="BX248" s="120"/>
      <c r="BY248" s="120"/>
      <c r="BZ248" s="120"/>
      <c r="CA248" s="120"/>
      <c r="CB248" s="120"/>
      <c r="CC248" s="120"/>
      <c r="CD248" s="120"/>
    </row>
    <row r="249" spans="1:82" x14ac:dyDescent="0.25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20"/>
      <c r="BW249" s="120"/>
      <c r="BX249" s="120"/>
      <c r="BY249" s="120"/>
      <c r="BZ249" s="120"/>
      <c r="CA249" s="120"/>
      <c r="CB249" s="120"/>
      <c r="CC249" s="120"/>
      <c r="CD249" s="120"/>
    </row>
    <row r="250" spans="1:82" x14ac:dyDescent="0.25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</row>
    <row r="251" spans="1:82" x14ac:dyDescent="0.25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20"/>
      <c r="BW251" s="120"/>
      <c r="BX251" s="120"/>
      <c r="BY251" s="120"/>
      <c r="BZ251" s="120"/>
      <c r="CA251" s="120"/>
      <c r="CB251" s="120"/>
      <c r="CC251" s="120"/>
      <c r="CD251" s="120"/>
    </row>
    <row r="252" spans="1:82" x14ac:dyDescent="0.25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20"/>
      <c r="BY252" s="120"/>
      <c r="BZ252" s="120"/>
      <c r="CA252" s="120"/>
      <c r="CB252" s="120"/>
      <c r="CC252" s="120"/>
      <c r="CD252" s="120"/>
    </row>
    <row r="253" spans="1:82" x14ac:dyDescent="0.25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20"/>
      <c r="BY253" s="120"/>
      <c r="BZ253" s="120"/>
      <c r="CA253" s="120"/>
      <c r="CB253" s="120"/>
      <c r="CC253" s="120"/>
      <c r="CD253" s="120"/>
    </row>
    <row r="254" spans="1:82" x14ac:dyDescent="0.25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U254" s="120"/>
      <c r="AV254" s="120"/>
      <c r="AW254" s="120"/>
      <c r="AX254" s="120"/>
      <c r="AY254" s="120"/>
      <c r="AZ254" s="120"/>
      <c r="BA254" s="120"/>
      <c r="BB254" s="120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20"/>
      <c r="BW254" s="120"/>
      <c r="BX254" s="120"/>
      <c r="BY254" s="120"/>
      <c r="BZ254" s="120"/>
      <c r="CA254" s="120"/>
      <c r="CB254" s="120"/>
      <c r="CC254" s="120"/>
      <c r="CD254" s="120"/>
    </row>
    <row r="255" spans="1:82" x14ac:dyDescent="0.25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20"/>
      <c r="BW255" s="120"/>
      <c r="BX255" s="120"/>
      <c r="BY255" s="120"/>
      <c r="BZ255" s="120"/>
      <c r="CA255" s="120"/>
      <c r="CB255" s="120"/>
      <c r="CC255" s="120"/>
      <c r="CD255" s="120"/>
    </row>
    <row r="256" spans="1:82" x14ac:dyDescent="0.25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20"/>
      <c r="BW256" s="120"/>
      <c r="BX256" s="120"/>
      <c r="BY256" s="120"/>
      <c r="BZ256" s="120"/>
      <c r="CA256" s="120"/>
      <c r="CB256" s="120"/>
      <c r="CC256" s="120"/>
      <c r="CD256" s="120"/>
    </row>
    <row r="257" spans="1:82" x14ac:dyDescent="0.25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</row>
    <row r="258" spans="1:82" x14ac:dyDescent="0.25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</row>
    <row r="259" spans="1:82" x14ac:dyDescent="0.25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U259" s="120"/>
      <c r="AV259" s="120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20"/>
      <c r="BW259" s="120"/>
      <c r="BX259" s="120"/>
      <c r="BY259" s="120"/>
      <c r="BZ259" s="120"/>
      <c r="CA259" s="120"/>
      <c r="CB259" s="120"/>
      <c r="CC259" s="120"/>
      <c r="CD259" s="120"/>
    </row>
    <row r="260" spans="1:82" x14ac:dyDescent="0.25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U260" s="120"/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20"/>
      <c r="BW260" s="120"/>
      <c r="BX260" s="120"/>
      <c r="BY260" s="120"/>
      <c r="BZ260" s="120"/>
      <c r="CA260" s="120"/>
      <c r="CB260" s="120"/>
      <c r="CC260" s="120"/>
      <c r="CD260" s="120"/>
    </row>
    <row r="261" spans="1:82" x14ac:dyDescent="0.25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20"/>
      <c r="BW261" s="120"/>
      <c r="BX261" s="120"/>
      <c r="BY261" s="120"/>
      <c r="BZ261" s="120"/>
      <c r="CA261" s="120"/>
      <c r="CB261" s="120"/>
      <c r="CC261" s="120"/>
      <c r="CD261" s="120"/>
    </row>
    <row r="262" spans="1:82" x14ac:dyDescent="0.25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U262" s="120"/>
      <c r="AV262" s="120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20"/>
      <c r="BW262" s="120"/>
      <c r="BX262" s="120"/>
      <c r="BY262" s="120"/>
      <c r="BZ262" s="120"/>
      <c r="CA262" s="120"/>
      <c r="CB262" s="120"/>
      <c r="CC262" s="120"/>
      <c r="CD262" s="120"/>
    </row>
    <row r="263" spans="1:82" x14ac:dyDescent="0.25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20"/>
      <c r="BW263" s="120"/>
      <c r="BX263" s="120"/>
      <c r="BY263" s="120"/>
      <c r="BZ263" s="120"/>
      <c r="CA263" s="120"/>
      <c r="CB263" s="120"/>
      <c r="CC263" s="120"/>
      <c r="CD263" s="120"/>
    </row>
    <row r="264" spans="1:82" x14ac:dyDescent="0.25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U264" s="120"/>
      <c r="AV264" s="120"/>
      <c r="AW264" s="120"/>
      <c r="AX264" s="120"/>
      <c r="AY264" s="120"/>
      <c r="AZ264" s="120"/>
      <c r="BA264" s="120"/>
      <c r="BB264" s="120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20"/>
      <c r="BW264" s="120"/>
      <c r="BX264" s="120"/>
      <c r="BY264" s="120"/>
      <c r="BZ264" s="120"/>
      <c r="CA264" s="120"/>
      <c r="CB264" s="120"/>
      <c r="CC264" s="120"/>
      <c r="CD264" s="120"/>
    </row>
    <row r="265" spans="1:82" x14ac:dyDescent="0.25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20"/>
      <c r="BW265" s="120"/>
      <c r="BX265" s="120"/>
      <c r="BY265" s="120"/>
      <c r="BZ265" s="120"/>
      <c r="CA265" s="120"/>
      <c r="CB265" s="120"/>
      <c r="CC265" s="120"/>
      <c r="CD265" s="120"/>
    </row>
    <row r="266" spans="1:82" x14ac:dyDescent="0.25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</row>
    <row r="267" spans="1:82" x14ac:dyDescent="0.25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</row>
    <row r="268" spans="1:82" x14ac:dyDescent="0.25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20"/>
      <c r="BW268" s="120"/>
      <c r="BX268" s="120"/>
      <c r="BY268" s="120"/>
      <c r="BZ268" s="120"/>
      <c r="CA268" s="120"/>
      <c r="CB268" s="120"/>
      <c r="CC268" s="120"/>
      <c r="CD268" s="120"/>
    </row>
    <row r="269" spans="1:82" x14ac:dyDescent="0.25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</row>
    <row r="270" spans="1:82" x14ac:dyDescent="0.25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</row>
    <row r="271" spans="1:82" x14ac:dyDescent="0.25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</row>
    <row r="272" spans="1:82" x14ac:dyDescent="0.25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</row>
    <row r="273" spans="1:82" x14ac:dyDescent="0.25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</row>
    <row r="274" spans="1:82" x14ac:dyDescent="0.25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</row>
    <row r="275" spans="1:82" x14ac:dyDescent="0.25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</row>
    <row r="276" spans="1:82" x14ac:dyDescent="0.25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</row>
    <row r="277" spans="1:82" x14ac:dyDescent="0.25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</row>
    <row r="278" spans="1:82" x14ac:dyDescent="0.25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</row>
    <row r="279" spans="1:82" x14ac:dyDescent="0.25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</row>
    <row r="280" spans="1:82" x14ac:dyDescent="0.25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</row>
    <row r="281" spans="1:82" x14ac:dyDescent="0.25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</row>
    <row r="282" spans="1:82" x14ac:dyDescent="0.25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</row>
    <row r="283" spans="1:82" x14ac:dyDescent="0.25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</row>
    <row r="284" spans="1:82" x14ac:dyDescent="0.25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</row>
    <row r="285" spans="1:82" x14ac:dyDescent="0.25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</row>
    <row r="286" spans="1:82" x14ac:dyDescent="0.25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0"/>
      <c r="BZ286" s="120"/>
      <c r="CA286" s="120"/>
      <c r="CB286" s="120"/>
      <c r="CC286" s="120"/>
      <c r="CD286" s="120"/>
    </row>
    <row r="287" spans="1:82" x14ac:dyDescent="0.25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</row>
    <row r="288" spans="1:82" x14ac:dyDescent="0.25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</row>
    <row r="289" spans="1:82" x14ac:dyDescent="0.25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</row>
    <row r="290" spans="1:82" x14ac:dyDescent="0.25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</row>
    <row r="291" spans="1:82" x14ac:dyDescent="0.25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</row>
    <row r="292" spans="1:82" x14ac:dyDescent="0.25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</row>
    <row r="293" spans="1:82" x14ac:dyDescent="0.25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</row>
    <row r="294" spans="1:82" x14ac:dyDescent="0.25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</row>
    <row r="295" spans="1:82" x14ac:dyDescent="0.25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</row>
    <row r="296" spans="1:82" x14ac:dyDescent="0.25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</row>
    <row r="297" spans="1:82" x14ac:dyDescent="0.25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</row>
    <row r="298" spans="1:82" x14ac:dyDescent="0.25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</row>
    <row r="299" spans="1:82" x14ac:dyDescent="0.25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</row>
    <row r="300" spans="1:82" x14ac:dyDescent="0.25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</row>
    <row r="301" spans="1:82" x14ac:dyDescent="0.25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</row>
    <row r="302" spans="1:82" x14ac:dyDescent="0.25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</row>
    <row r="303" spans="1:82" x14ac:dyDescent="0.25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</row>
    <row r="304" spans="1:82" x14ac:dyDescent="0.25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</row>
    <row r="305" spans="1:82" x14ac:dyDescent="0.25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</row>
    <row r="306" spans="1:82" x14ac:dyDescent="0.25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</row>
    <row r="307" spans="1:82" x14ac:dyDescent="0.25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</row>
    <row r="308" spans="1:82" x14ac:dyDescent="0.25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</row>
    <row r="309" spans="1:82" x14ac:dyDescent="0.25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</row>
    <row r="310" spans="1:82" x14ac:dyDescent="0.25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</row>
    <row r="311" spans="1:82" x14ac:dyDescent="0.25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</row>
    <row r="312" spans="1:82" x14ac:dyDescent="0.25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</row>
    <row r="313" spans="1:82" x14ac:dyDescent="0.25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</row>
    <row r="314" spans="1:82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</row>
    <row r="315" spans="1:82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</row>
    <row r="316" spans="1:82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</row>
    <row r="317" spans="1:82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</row>
    <row r="318" spans="1:82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</row>
    <row r="319" spans="1:82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</row>
    <row r="320" spans="1:82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</row>
    <row r="321" spans="1:82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</row>
    <row r="322" spans="1:82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</row>
    <row r="323" spans="1:82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</row>
    <row r="324" spans="1:82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</row>
    <row r="325" spans="1:82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</row>
    <row r="326" spans="1:82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</row>
    <row r="327" spans="1:82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</row>
    <row r="328" spans="1:82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</row>
    <row r="329" spans="1:82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</row>
    <row r="330" spans="1:82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</row>
    <row r="331" spans="1:82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</row>
    <row r="332" spans="1:82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</row>
    <row r="333" spans="1:82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</row>
    <row r="334" spans="1:82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</row>
    <row r="335" spans="1:82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</row>
    <row r="336" spans="1:82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</row>
    <row r="337" spans="1:82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</row>
    <row r="338" spans="1:82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</row>
    <row r="339" spans="1:82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</row>
    <row r="340" spans="1:82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</row>
    <row r="341" spans="1:82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</row>
    <row r="342" spans="1:82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</row>
    <row r="343" spans="1:82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</row>
    <row r="344" spans="1:82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</row>
    <row r="345" spans="1:82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</row>
    <row r="346" spans="1:82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</row>
    <row r="347" spans="1:82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</row>
    <row r="348" spans="1:82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</row>
    <row r="349" spans="1:82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</row>
    <row r="350" spans="1:82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</row>
    <row r="351" spans="1:82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</row>
    <row r="352" spans="1:82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</row>
    <row r="353" spans="1:82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</row>
    <row r="354" spans="1:82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</row>
    <row r="355" spans="1:82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</row>
    <row r="356" spans="1:82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</row>
    <row r="357" spans="1:82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</row>
    <row r="358" spans="1:82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20"/>
      <c r="BW358" s="120"/>
      <c r="BX358" s="120"/>
      <c r="BY358" s="120"/>
      <c r="BZ358" s="120"/>
      <c r="CA358" s="120"/>
      <c r="CB358" s="120"/>
      <c r="CC358" s="120"/>
      <c r="CD358" s="120"/>
    </row>
    <row r="359" spans="1:82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20"/>
      <c r="BW359" s="120"/>
      <c r="BX359" s="120"/>
      <c r="BY359" s="120"/>
      <c r="BZ359" s="120"/>
      <c r="CA359" s="120"/>
      <c r="CB359" s="120"/>
      <c r="CC359" s="120"/>
      <c r="CD359" s="120"/>
    </row>
    <row r="360" spans="1:82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20"/>
      <c r="BW360" s="120"/>
      <c r="BX360" s="120"/>
      <c r="BY360" s="120"/>
      <c r="BZ360" s="120"/>
      <c r="CA360" s="120"/>
      <c r="CB360" s="120"/>
      <c r="CC360" s="120"/>
      <c r="CD360" s="120"/>
    </row>
    <row r="361" spans="1:82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</row>
    <row r="362" spans="1:82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20"/>
      <c r="BW362" s="120"/>
      <c r="BX362" s="120"/>
      <c r="BY362" s="120"/>
      <c r="BZ362" s="120"/>
      <c r="CA362" s="120"/>
      <c r="CB362" s="120"/>
      <c r="CC362" s="120"/>
      <c r="CD362" s="120"/>
    </row>
    <row r="363" spans="1:82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20"/>
      <c r="BW363" s="120"/>
      <c r="BX363" s="120"/>
      <c r="BY363" s="120"/>
      <c r="BZ363" s="120"/>
      <c r="CA363" s="120"/>
      <c r="CB363" s="120"/>
      <c r="CC363" s="120"/>
      <c r="CD363" s="120"/>
    </row>
    <row r="364" spans="1:82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20"/>
      <c r="BW364" s="120"/>
      <c r="BX364" s="120"/>
      <c r="BY364" s="120"/>
      <c r="BZ364" s="120"/>
      <c r="CA364" s="120"/>
      <c r="CB364" s="120"/>
      <c r="CC364" s="120"/>
      <c r="CD364" s="120"/>
    </row>
    <row r="365" spans="1:82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20"/>
      <c r="BW365" s="120"/>
      <c r="BX365" s="120"/>
      <c r="BY365" s="120"/>
      <c r="BZ365" s="120"/>
      <c r="CA365" s="120"/>
      <c r="CB365" s="120"/>
      <c r="CC365" s="120"/>
      <c r="CD365" s="120"/>
    </row>
    <row r="366" spans="1:82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20"/>
      <c r="BW366" s="120"/>
      <c r="BX366" s="120"/>
      <c r="BY366" s="120"/>
      <c r="BZ366" s="120"/>
      <c r="CA366" s="120"/>
      <c r="CB366" s="120"/>
      <c r="CC366" s="120"/>
      <c r="CD366" s="120"/>
    </row>
    <row r="367" spans="1:82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20"/>
      <c r="BW367" s="120"/>
      <c r="BX367" s="120"/>
      <c r="BY367" s="120"/>
      <c r="BZ367" s="120"/>
      <c r="CA367" s="120"/>
      <c r="CB367" s="120"/>
      <c r="CC367" s="120"/>
      <c r="CD367" s="120"/>
    </row>
    <row r="368" spans="1:82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20"/>
      <c r="BW368" s="120"/>
      <c r="BX368" s="120"/>
      <c r="BY368" s="120"/>
      <c r="BZ368" s="120"/>
      <c r="CA368" s="120"/>
      <c r="CB368" s="120"/>
      <c r="CC368" s="120"/>
      <c r="CD368" s="120"/>
    </row>
    <row r="369" spans="1:82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20"/>
      <c r="BX369" s="120"/>
      <c r="BY369" s="120"/>
      <c r="BZ369" s="120"/>
      <c r="CA369" s="120"/>
      <c r="CB369" s="120"/>
      <c r="CC369" s="120"/>
      <c r="CD369" s="120"/>
    </row>
    <row r="370" spans="1:82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20"/>
      <c r="BW370" s="120"/>
      <c r="BX370" s="120"/>
      <c r="BY370" s="120"/>
      <c r="BZ370" s="120"/>
      <c r="CA370" s="120"/>
      <c r="CB370" s="120"/>
      <c r="CC370" s="120"/>
      <c r="CD370" s="120"/>
    </row>
    <row r="371" spans="1:82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20"/>
      <c r="BW371" s="120"/>
      <c r="BX371" s="120"/>
      <c r="BY371" s="120"/>
      <c r="BZ371" s="120"/>
      <c r="CA371" s="120"/>
      <c r="CB371" s="120"/>
      <c r="CC371" s="120"/>
      <c r="CD371" s="120"/>
    </row>
    <row r="372" spans="1:82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20"/>
      <c r="BW372" s="120"/>
      <c r="BX372" s="120"/>
      <c r="BY372" s="120"/>
      <c r="BZ372" s="120"/>
      <c r="CA372" s="120"/>
      <c r="CB372" s="120"/>
      <c r="CC372" s="120"/>
      <c r="CD372" s="120"/>
    </row>
    <row r="373" spans="1:82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20"/>
      <c r="BW373" s="120"/>
      <c r="BX373" s="120"/>
      <c r="BY373" s="120"/>
      <c r="BZ373" s="120"/>
      <c r="CA373" s="120"/>
      <c r="CB373" s="120"/>
      <c r="CC373" s="120"/>
      <c r="CD373" s="120"/>
    </row>
    <row r="374" spans="1:82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20"/>
      <c r="BW374" s="120"/>
      <c r="BX374" s="120"/>
      <c r="BY374" s="120"/>
      <c r="BZ374" s="120"/>
      <c r="CA374" s="120"/>
      <c r="CB374" s="120"/>
      <c r="CC374" s="120"/>
      <c r="CD374" s="120"/>
    </row>
    <row r="375" spans="1:82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  <c r="BV375" s="120"/>
      <c r="BW375" s="120"/>
      <c r="BX375" s="120"/>
      <c r="BY375" s="120"/>
      <c r="BZ375" s="120"/>
      <c r="CA375" s="120"/>
      <c r="CB375" s="120"/>
      <c r="CC375" s="120"/>
      <c r="CD375" s="120"/>
    </row>
    <row r="376" spans="1:82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0"/>
      <c r="CB376" s="120"/>
      <c r="CC376" s="120"/>
      <c r="CD376" s="120"/>
    </row>
    <row r="377" spans="1:82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  <c r="BV377" s="120"/>
      <c r="BW377" s="120"/>
      <c r="BX377" s="120"/>
      <c r="BY377" s="120"/>
      <c r="BZ377" s="120"/>
      <c r="CA377" s="120"/>
      <c r="CB377" s="120"/>
      <c r="CC377" s="120"/>
      <c r="CD377" s="120"/>
    </row>
    <row r="378" spans="1:82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  <c r="BV378" s="120"/>
      <c r="BW378" s="120"/>
      <c r="BX378" s="120"/>
      <c r="BY378" s="120"/>
      <c r="BZ378" s="120"/>
      <c r="CA378" s="120"/>
      <c r="CB378" s="120"/>
      <c r="CC378" s="120"/>
      <c r="CD378" s="120"/>
    </row>
    <row r="379" spans="1:82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  <c r="BV379" s="120"/>
      <c r="BW379" s="120"/>
      <c r="BX379" s="120"/>
      <c r="BY379" s="120"/>
      <c r="BZ379" s="120"/>
      <c r="CA379" s="120"/>
      <c r="CB379" s="120"/>
      <c r="CC379" s="120"/>
      <c r="CD379" s="120"/>
    </row>
    <row r="380" spans="1:82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  <c r="BV380" s="120"/>
      <c r="BW380" s="120"/>
      <c r="BX380" s="120"/>
      <c r="BY380" s="120"/>
      <c r="BZ380" s="120"/>
      <c r="CA380" s="120"/>
      <c r="CB380" s="120"/>
      <c r="CC380" s="120"/>
      <c r="CD380" s="120"/>
    </row>
    <row r="381" spans="1:82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  <c r="BV381" s="120"/>
      <c r="BW381" s="120"/>
      <c r="BX381" s="120"/>
      <c r="BY381" s="120"/>
      <c r="BZ381" s="120"/>
      <c r="CA381" s="120"/>
      <c r="CB381" s="120"/>
      <c r="CC381" s="120"/>
      <c r="CD381" s="120"/>
    </row>
    <row r="382" spans="1:82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  <c r="BV382" s="120"/>
      <c r="BW382" s="120"/>
      <c r="BX382" s="120"/>
      <c r="BY382" s="120"/>
      <c r="BZ382" s="120"/>
      <c r="CA382" s="120"/>
      <c r="CB382" s="120"/>
      <c r="CC382" s="120"/>
      <c r="CD382" s="120"/>
    </row>
    <row r="383" spans="1:82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  <c r="BV383" s="120"/>
      <c r="BW383" s="120"/>
      <c r="BX383" s="120"/>
      <c r="BY383" s="120"/>
      <c r="BZ383" s="120"/>
      <c r="CA383" s="120"/>
      <c r="CB383" s="120"/>
      <c r="CC383" s="120"/>
      <c r="CD383" s="120"/>
    </row>
    <row r="384" spans="1:82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  <c r="BV384" s="120"/>
      <c r="BW384" s="120"/>
      <c r="BX384" s="120"/>
      <c r="BY384" s="120"/>
      <c r="BZ384" s="120"/>
      <c r="CA384" s="120"/>
      <c r="CB384" s="120"/>
      <c r="CC384" s="120"/>
      <c r="CD384" s="120"/>
    </row>
    <row r="385" spans="1:82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  <c r="BV385" s="120"/>
      <c r="BW385" s="120"/>
      <c r="BX385" s="120"/>
      <c r="BY385" s="120"/>
      <c r="BZ385" s="120"/>
      <c r="CA385" s="120"/>
      <c r="CB385" s="120"/>
      <c r="CC385" s="120"/>
      <c r="CD385" s="120"/>
    </row>
    <row r="386" spans="1:82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  <c r="BV386" s="120"/>
      <c r="BW386" s="120"/>
      <c r="BX386" s="120"/>
      <c r="BY386" s="120"/>
      <c r="BZ386" s="120"/>
      <c r="CA386" s="120"/>
      <c r="CB386" s="120"/>
      <c r="CC386" s="120"/>
      <c r="CD386" s="120"/>
    </row>
    <row r="387" spans="1:82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  <c r="BV387" s="120"/>
      <c r="BW387" s="120"/>
      <c r="BX387" s="120"/>
      <c r="BY387" s="120"/>
      <c r="BZ387" s="120"/>
      <c r="CA387" s="120"/>
      <c r="CB387" s="120"/>
      <c r="CC387" s="120"/>
      <c r="CD387" s="120"/>
    </row>
    <row r="388" spans="1:82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  <c r="BV388" s="120"/>
      <c r="BW388" s="120"/>
      <c r="BX388" s="120"/>
      <c r="BY388" s="120"/>
      <c r="BZ388" s="120"/>
      <c r="CA388" s="120"/>
      <c r="CB388" s="120"/>
      <c r="CC388" s="120"/>
      <c r="CD388" s="120"/>
    </row>
    <row r="389" spans="1:82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  <c r="BV389" s="120"/>
      <c r="BW389" s="120"/>
      <c r="BX389" s="120"/>
      <c r="BY389" s="120"/>
      <c r="BZ389" s="120"/>
      <c r="CA389" s="120"/>
      <c r="CB389" s="120"/>
      <c r="CC389" s="120"/>
      <c r="CD389" s="120"/>
    </row>
    <row r="390" spans="1:82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  <c r="BV390" s="120"/>
      <c r="BW390" s="120"/>
      <c r="BX390" s="120"/>
      <c r="BY390" s="120"/>
      <c r="BZ390" s="120"/>
      <c r="CA390" s="120"/>
      <c r="CB390" s="120"/>
      <c r="CC390" s="120"/>
      <c r="CD390" s="120"/>
    </row>
    <row r="391" spans="1:82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  <c r="BV391" s="120"/>
      <c r="BW391" s="120"/>
      <c r="BX391" s="120"/>
      <c r="BY391" s="120"/>
      <c r="BZ391" s="120"/>
      <c r="CA391" s="120"/>
      <c r="CB391" s="120"/>
      <c r="CC391" s="120"/>
      <c r="CD391" s="120"/>
    </row>
    <row r="392" spans="1:82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  <c r="BV392" s="120"/>
      <c r="BW392" s="120"/>
      <c r="BX392" s="120"/>
      <c r="BY392" s="120"/>
      <c r="BZ392" s="120"/>
      <c r="CA392" s="120"/>
      <c r="CB392" s="120"/>
      <c r="CC392" s="120"/>
      <c r="CD392" s="120"/>
    </row>
    <row r="393" spans="1:82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  <c r="BV393" s="120"/>
      <c r="BW393" s="120"/>
      <c r="BX393" s="120"/>
      <c r="BY393" s="120"/>
      <c r="BZ393" s="120"/>
      <c r="CA393" s="120"/>
      <c r="CB393" s="120"/>
      <c r="CC393" s="120"/>
      <c r="CD393" s="120"/>
    </row>
    <row r="394" spans="1:82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  <c r="BV394" s="120"/>
      <c r="BW394" s="120"/>
      <c r="BX394" s="120"/>
      <c r="BY394" s="120"/>
      <c r="BZ394" s="120"/>
      <c r="CA394" s="120"/>
      <c r="CB394" s="120"/>
      <c r="CC394" s="120"/>
      <c r="CD394" s="120"/>
    </row>
    <row r="395" spans="1:82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  <c r="BV395" s="120"/>
      <c r="BW395" s="120"/>
      <c r="BX395" s="120"/>
      <c r="BY395" s="120"/>
      <c r="BZ395" s="120"/>
      <c r="CA395" s="120"/>
      <c r="CB395" s="120"/>
      <c r="CC395" s="120"/>
      <c r="CD395" s="120"/>
    </row>
    <row r="396" spans="1:82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  <c r="BV396" s="120"/>
      <c r="BW396" s="120"/>
      <c r="BX396" s="120"/>
      <c r="BY396" s="120"/>
      <c r="BZ396" s="120"/>
      <c r="CA396" s="120"/>
      <c r="CB396" s="120"/>
      <c r="CC396" s="120"/>
      <c r="CD396" s="120"/>
    </row>
    <row r="397" spans="1:82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  <c r="BV397" s="120"/>
      <c r="BW397" s="120"/>
      <c r="BX397" s="120"/>
      <c r="BY397" s="120"/>
      <c r="BZ397" s="120"/>
      <c r="CA397" s="120"/>
      <c r="CB397" s="120"/>
      <c r="CC397" s="120"/>
      <c r="CD397" s="120"/>
    </row>
    <row r="398" spans="1:82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  <c r="BV398" s="120"/>
      <c r="BW398" s="120"/>
      <c r="BX398" s="120"/>
      <c r="BY398" s="120"/>
      <c r="BZ398" s="120"/>
      <c r="CA398" s="120"/>
      <c r="CB398" s="120"/>
      <c r="CC398" s="120"/>
      <c r="CD398" s="120"/>
    </row>
    <row r="399" spans="1:82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  <c r="BV399" s="120"/>
      <c r="BW399" s="120"/>
      <c r="BX399" s="120"/>
      <c r="BY399" s="120"/>
      <c r="BZ399" s="120"/>
      <c r="CA399" s="120"/>
      <c r="CB399" s="120"/>
      <c r="CC399" s="120"/>
      <c r="CD399" s="120"/>
    </row>
    <row r="400" spans="1:82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20"/>
      <c r="BW400" s="120"/>
      <c r="BX400" s="120"/>
      <c r="BY400" s="120"/>
      <c r="BZ400" s="120"/>
      <c r="CA400" s="120"/>
      <c r="CB400" s="120"/>
      <c r="CC400" s="120"/>
      <c r="CD400" s="120"/>
    </row>
    <row r="401" spans="1:82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20"/>
      <c r="BW401" s="120"/>
      <c r="BX401" s="120"/>
      <c r="BY401" s="120"/>
      <c r="BZ401" s="120"/>
      <c r="CA401" s="120"/>
      <c r="CB401" s="120"/>
      <c r="CC401" s="120"/>
      <c r="CD401" s="120"/>
    </row>
    <row r="402" spans="1:82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  <c r="BV402" s="120"/>
      <c r="BW402" s="120"/>
      <c r="BX402" s="120"/>
      <c r="BY402" s="120"/>
      <c r="BZ402" s="120"/>
      <c r="CA402" s="120"/>
      <c r="CB402" s="120"/>
      <c r="CC402" s="120"/>
      <c r="CD402" s="120"/>
    </row>
    <row r="403" spans="1:82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  <c r="BV403" s="120"/>
      <c r="BW403" s="120"/>
      <c r="BX403" s="120"/>
      <c r="BY403" s="120"/>
      <c r="BZ403" s="120"/>
      <c r="CA403" s="120"/>
      <c r="CB403" s="120"/>
      <c r="CC403" s="120"/>
      <c r="CD403" s="120"/>
    </row>
    <row r="404" spans="1:82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  <c r="BV404" s="120"/>
      <c r="BW404" s="120"/>
      <c r="BX404" s="120"/>
      <c r="BY404" s="120"/>
      <c r="BZ404" s="120"/>
      <c r="CA404" s="120"/>
      <c r="CB404" s="120"/>
      <c r="CC404" s="120"/>
      <c r="CD404" s="120"/>
    </row>
    <row r="405" spans="1:82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  <c r="BV405" s="120"/>
      <c r="BW405" s="120"/>
      <c r="BX405" s="120"/>
      <c r="BY405" s="120"/>
      <c r="BZ405" s="120"/>
      <c r="CA405" s="120"/>
      <c r="CB405" s="120"/>
      <c r="CC405" s="120"/>
      <c r="CD405" s="120"/>
    </row>
    <row r="406" spans="1:82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20"/>
      <c r="BW406" s="120"/>
      <c r="BX406" s="120"/>
      <c r="BY406" s="120"/>
      <c r="BZ406" s="120"/>
      <c r="CA406" s="120"/>
      <c r="CB406" s="120"/>
      <c r="CC406" s="120"/>
      <c r="CD406" s="120"/>
    </row>
    <row r="407" spans="1:82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  <c r="BV407" s="120"/>
      <c r="BW407" s="120"/>
      <c r="BX407" s="120"/>
      <c r="BY407" s="120"/>
      <c r="BZ407" s="120"/>
      <c r="CA407" s="120"/>
      <c r="CB407" s="120"/>
      <c r="CC407" s="120"/>
      <c r="CD407" s="120"/>
    </row>
    <row r="408" spans="1:82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  <c r="BV408" s="120"/>
      <c r="BW408" s="120"/>
      <c r="BX408" s="120"/>
      <c r="BY408" s="120"/>
      <c r="BZ408" s="120"/>
      <c r="CA408" s="120"/>
      <c r="CB408" s="120"/>
      <c r="CC408" s="120"/>
      <c r="CD408" s="120"/>
    </row>
    <row r="409" spans="1:82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  <c r="BV409" s="120"/>
      <c r="BW409" s="120"/>
      <c r="BX409" s="120"/>
      <c r="BY409" s="120"/>
      <c r="BZ409" s="120"/>
      <c r="CA409" s="120"/>
      <c r="CB409" s="120"/>
      <c r="CC409" s="120"/>
      <c r="CD409" s="120"/>
    </row>
    <row r="410" spans="1:82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  <c r="BV410" s="120"/>
      <c r="BW410" s="120"/>
      <c r="BX410" s="120"/>
      <c r="BY410" s="120"/>
      <c r="BZ410" s="120"/>
      <c r="CA410" s="120"/>
      <c r="CB410" s="120"/>
      <c r="CC410" s="120"/>
      <c r="CD410" s="120"/>
    </row>
    <row r="411" spans="1:82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  <c r="BV411" s="120"/>
      <c r="BW411" s="120"/>
      <c r="BX411" s="120"/>
      <c r="BY411" s="120"/>
      <c r="BZ411" s="120"/>
      <c r="CA411" s="120"/>
      <c r="CB411" s="120"/>
      <c r="CC411" s="120"/>
      <c r="CD411" s="120"/>
    </row>
    <row r="412" spans="1:82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  <c r="BV412" s="120"/>
      <c r="BW412" s="120"/>
      <c r="BX412" s="120"/>
      <c r="BY412" s="120"/>
      <c r="BZ412" s="120"/>
      <c r="CA412" s="120"/>
      <c r="CB412" s="120"/>
      <c r="CC412" s="120"/>
      <c r="CD412" s="120"/>
    </row>
    <row r="413" spans="1:82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  <c r="BV413" s="120"/>
      <c r="BW413" s="120"/>
      <c r="BX413" s="120"/>
      <c r="BY413" s="120"/>
      <c r="BZ413" s="120"/>
      <c r="CA413" s="120"/>
      <c r="CB413" s="120"/>
      <c r="CC413" s="120"/>
      <c r="CD413" s="120"/>
    </row>
    <row r="414" spans="1:82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  <c r="BV414" s="120"/>
      <c r="BW414" s="120"/>
      <c r="BX414" s="120"/>
      <c r="BY414" s="120"/>
      <c r="BZ414" s="120"/>
      <c r="CA414" s="120"/>
      <c r="CB414" s="120"/>
      <c r="CC414" s="120"/>
      <c r="CD414" s="120"/>
    </row>
    <row r="415" spans="1:82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  <c r="BV415" s="120"/>
      <c r="BW415" s="120"/>
      <c r="BX415" s="120"/>
      <c r="BY415" s="120"/>
      <c r="BZ415" s="120"/>
      <c r="CA415" s="120"/>
      <c r="CB415" s="120"/>
      <c r="CC415" s="120"/>
      <c r="CD415" s="120"/>
    </row>
    <row r="416" spans="1:82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  <c r="BV416" s="120"/>
      <c r="BW416" s="120"/>
      <c r="BX416" s="120"/>
      <c r="BY416" s="120"/>
      <c r="BZ416" s="120"/>
      <c r="CA416" s="120"/>
      <c r="CB416" s="120"/>
      <c r="CC416" s="120"/>
      <c r="CD416" s="120"/>
    </row>
    <row r="417" spans="1:82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  <c r="BV417" s="120"/>
      <c r="BW417" s="120"/>
      <c r="BX417" s="120"/>
      <c r="BY417" s="120"/>
      <c r="BZ417" s="120"/>
      <c r="CA417" s="120"/>
      <c r="CB417" s="120"/>
      <c r="CC417" s="120"/>
      <c r="CD417" s="120"/>
    </row>
    <row r="418" spans="1:82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  <c r="BV418" s="120"/>
      <c r="BW418" s="120"/>
      <c r="BX418" s="120"/>
      <c r="BY418" s="120"/>
      <c r="BZ418" s="120"/>
      <c r="CA418" s="120"/>
      <c r="CB418" s="120"/>
      <c r="CC418" s="120"/>
      <c r="CD418" s="120"/>
    </row>
    <row r="419" spans="1:82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  <c r="BV419" s="120"/>
      <c r="BW419" s="120"/>
      <c r="BX419" s="120"/>
      <c r="BY419" s="120"/>
      <c r="BZ419" s="120"/>
      <c r="CA419" s="120"/>
      <c r="CB419" s="120"/>
      <c r="CC419" s="120"/>
      <c r="CD419" s="120"/>
    </row>
    <row r="420" spans="1:82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  <c r="BV420" s="120"/>
      <c r="BW420" s="120"/>
      <c r="BX420" s="120"/>
      <c r="BY420" s="120"/>
      <c r="BZ420" s="120"/>
      <c r="CA420" s="120"/>
      <c r="CB420" s="120"/>
      <c r="CC420" s="120"/>
      <c r="CD420" s="120"/>
    </row>
    <row r="421" spans="1:82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  <c r="BV421" s="120"/>
      <c r="BW421" s="120"/>
      <c r="BX421" s="120"/>
      <c r="BY421" s="120"/>
      <c r="BZ421" s="120"/>
      <c r="CA421" s="120"/>
      <c r="CB421" s="120"/>
      <c r="CC421" s="120"/>
      <c r="CD421" s="120"/>
    </row>
    <row r="422" spans="1:82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  <c r="BV422" s="120"/>
      <c r="BW422" s="120"/>
      <c r="BX422" s="120"/>
      <c r="BY422" s="120"/>
      <c r="BZ422" s="120"/>
      <c r="CA422" s="120"/>
      <c r="CB422" s="120"/>
      <c r="CC422" s="120"/>
      <c r="CD422" s="120"/>
    </row>
    <row r="423" spans="1:82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  <c r="BV423" s="120"/>
      <c r="BW423" s="120"/>
      <c r="BX423" s="120"/>
      <c r="BY423" s="120"/>
      <c r="BZ423" s="120"/>
      <c r="CA423" s="120"/>
      <c r="CB423" s="120"/>
      <c r="CC423" s="120"/>
      <c r="CD423" s="120"/>
    </row>
    <row r="424" spans="1:82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  <c r="BV424" s="120"/>
      <c r="BW424" s="120"/>
      <c r="BX424" s="120"/>
      <c r="BY424" s="120"/>
      <c r="BZ424" s="120"/>
      <c r="CA424" s="120"/>
      <c r="CB424" s="120"/>
      <c r="CC424" s="120"/>
      <c r="CD424" s="120"/>
    </row>
    <row r="425" spans="1:82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  <c r="BV425" s="120"/>
      <c r="BW425" s="120"/>
      <c r="BX425" s="120"/>
      <c r="BY425" s="120"/>
      <c r="BZ425" s="120"/>
      <c r="CA425" s="120"/>
      <c r="CB425" s="120"/>
      <c r="CC425" s="120"/>
      <c r="CD425" s="120"/>
    </row>
    <row r="426" spans="1:82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  <c r="BV426" s="120"/>
      <c r="BW426" s="120"/>
      <c r="BX426" s="120"/>
      <c r="BY426" s="120"/>
      <c r="BZ426" s="120"/>
      <c r="CA426" s="120"/>
      <c r="CB426" s="120"/>
      <c r="CC426" s="120"/>
      <c r="CD426" s="120"/>
    </row>
    <row r="427" spans="1:82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20"/>
      <c r="BW427" s="120"/>
      <c r="BX427" s="120"/>
      <c r="BY427" s="120"/>
      <c r="BZ427" s="120"/>
      <c r="CA427" s="120"/>
      <c r="CB427" s="120"/>
      <c r="CC427" s="120"/>
      <c r="CD427" s="120"/>
    </row>
    <row r="428" spans="1:82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  <c r="BV428" s="120"/>
      <c r="BW428" s="120"/>
      <c r="BX428" s="120"/>
      <c r="BY428" s="120"/>
      <c r="BZ428" s="120"/>
      <c r="CA428" s="120"/>
      <c r="CB428" s="120"/>
      <c r="CC428" s="120"/>
      <c r="CD428" s="120"/>
    </row>
    <row r="429" spans="1:82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  <c r="BV429" s="120"/>
      <c r="BW429" s="120"/>
      <c r="BX429" s="120"/>
      <c r="BY429" s="120"/>
      <c r="BZ429" s="120"/>
      <c r="CA429" s="120"/>
      <c r="CB429" s="120"/>
      <c r="CC429" s="120"/>
      <c r="CD429" s="120"/>
    </row>
    <row r="430" spans="1:82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  <c r="BV430" s="120"/>
      <c r="BW430" s="120"/>
      <c r="BX430" s="120"/>
      <c r="BY430" s="120"/>
      <c r="BZ430" s="120"/>
      <c r="CA430" s="120"/>
      <c r="CB430" s="120"/>
      <c r="CC430" s="120"/>
      <c r="CD430" s="120"/>
    </row>
    <row r="431" spans="1:82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  <c r="BV431" s="120"/>
      <c r="BW431" s="120"/>
      <c r="BX431" s="120"/>
      <c r="BY431" s="120"/>
      <c r="BZ431" s="120"/>
      <c r="CA431" s="120"/>
      <c r="CB431" s="120"/>
      <c r="CC431" s="120"/>
      <c r="CD431" s="120"/>
    </row>
    <row r="432" spans="1:82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20"/>
      <c r="BW432" s="120"/>
      <c r="BX432" s="120"/>
      <c r="BY432" s="120"/>
      <c r="BZ432" s="120"/>
      <c r="CA432" s="120"/>
      <c r="CB432" s="120"/>
      <c r="CC432" s="120"/>
      <c r="CD432" s="120"/>
    </row>
    <row r="433" spans="1:82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  <c r="BV433" s="120"/>
      <c r="BW433" s="120"/>
      <c r="BX433" s="120"/>
      <c r="BY433" s="120"/>
      <c r="BZ433" s="120"/>
      <c r="CA433" s="120"/>
      <c r="CB433" s="120"/>
      <c r="CC433" s="120"/>
      <c r="CD433" s="120"/>
    </row>
    <row r="434" spans="1:82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  <c r="BV434" s="120"/>
      <c r="BW434" s="120"/>
      <c r="BX434" s="120"/>
      <c r="BY434" s="120"/>
      <c r="BZ434" s="120"/>
      <c r="CA434" s="120"/>
      <c r="CB434" s="120"/>
      <c r="CC434" s="120"/>
      <c r="CD434" s="120"/>
    </row>
    <row r="435" spans="1:82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  <c r="BV435" s="120"/>
      <c r="BW435" s="120"/>
      <c r="BX435" s="120"/>
      <c r="BY435" s="120"/>
      <c r="BZ435" s="120"/>
      <c r="CA435" s="120"/>
      <c r="CB435" s="120"/>
      <c r="CC435" s="120"/>
      <c r="CD435" s="120"/>
    </row>
    <row r="436" spans="1:82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  <c r="BV436" s="120"/>
      <c r="BW436" s="120"/>
      <c r="BX436" s="120"/>
      <c r="BY436" s="120"/>
      <c r="BZ436" s="120"/>
      <c r="CA436" s="120"/>
      <c r="CB436" s="120"/>
      <c r="CC436" s="120"/>
      <c r="CD436" s="120"/>
    </row>
    <row r="437" spans="1:82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  <c r="BV437" s="120"/>
      <c r="BW437" s="120"/>
      <c r="BX437" s="120"/>
      <c r="BY437" s="120"/>
      <c r="BZ437" s="120"/>
      <c r="CA437" s="120"/>
      <c r="CB437" s="120"/>
      <c r="CC437" s="120"/>
      <c r="CD437" s="120"/>
    </row>
    <row r="438" spans="1:82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  <c r="BV438" s="120"/>
      <c r="BW438" s="120"/>
      <c r="BX438" s="120"/>
      <c r="BY438" s="120"/>
      <c r="BZ438" s="120"/>
      <c r="CA438" s="120"/>
      <c r="CB438" s="120"/>
      <c r="CC438" s="120"/>
      <c r="CD438" s="120"/>
    </row>
    <row r="439" spans="1:82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  <c r="BV439" s="120"/>
      <c r="BW439" s="120"/>
      <c r="BX439" s="120"/>
      <c r="BY439" s="120"/>
      <c r="BZ439" s="120"/>
      <c r="CA439" s="120"/>
      <c r="CB439" s="120"/>
      <c r="CC439" s="120"/>
      <c r="CD439" s="120"/>
    </row>
    <row r="440" spans="1:82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  <c r="BV440" s="120"/>
      <c r="BW440" s="120"/>
      <c r="BX440" s="120"/>
      <c r="BY440" s="120"/>
      <c r="BZ440" s="120"/>
      <c r="CA440" s="120"/>
      <c r="CB440" s="120"/>
      <c r="CC440" s="120"/>
      <c r="CD440" s="120"/>
    </row>
    <row r="441" spans="1:82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  <c r="BV441" s="120"/>
      <c r="BW441" s="120"/>
      <c r="BX441" s="120"/>
      <c r="BY441" s="120"/>
      <c r="BZ441" s="120"/>
      <c r="CA441" s="120"/>
      <c r="CB441" s="120"/>
      <c r="CC441" s="120"/>
      <c r="CD441" s="120"/>
    </row>
    <row r="442" spans="1:82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  <c r="BV442" s="120"/>
      <c r="BW442" s="120"/>
      <c r="BX442" s="120"/>
      <c r="BY442" s="120"/>
      <c r="BZ442" s="120"/>
      <c r="CA442" s="120"/>
      <c r="CB442" s="120"/>
      <c r="CC442" s="120"/>
      <c r="CD442" s="120"/>
    </row>
    <row r="443" spans="1:82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  <c r="BV443" s="120"/>
      <c r="BW443" s="120"/>
      <c r="BX443" s="120"/>
      <c r="BY443" s="120"/>
      <c r="BZ443" s="120"/>
      <c r="CA443" s="120"/>
      <c r="CB443" s="120"/>
      <c r="CC443" s="120"/>
      <c r="CD443" s="120"/>
    </row>
    <row r="444" spans="1:82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  <c r="BV444" s="120"/>
      <c r="BW444" s="120"/>
      <c r="BX444" s="120"/>
      <c r="BY444" s="120"/>
      <c r="BZ444" s="120"/>
      <c r="CA444" s="120"/>
      <c r="CB444" s="120"/>
      <c r="CC444" s="120"/>
      <c r="CD444" s="120"/>
    </row>
    <row r="445" spans="1:82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  <c r="BV445" s="120"/>
      <c r="BW445" s="120"/>
      <c r="BX445" s="120"/>
      <c r="BY445" s="120"/>
      <c r="BZ445" s="120"/>
      <c r="CA445" s="120"/>
      <c r="CB445" s="120"/>
      <c r="CC445" s="120"/>
      <c r="CD445" s="120"/>
    </row>
    <row r="446" spans="1:82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  <c r="BV446" s="120"/>
      <c r="BW446" s="120"/>
      <c r="BX446" s="120"/>
      <c r="BY446" s="120"/>
      <c r="BZ446" s="120"/>
      <c r="CA446" s="120"/>
      <c r="CB446" s="120"/>
      <c r="CC446" s="120"/>
      <c r="CD446" s="120"/>
    </row>
    <row r="447" spans="1:82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  <c r="BV447" s="120"/>
      <c r="BW447" s="120"/>
      <c r="BX447" s="120"/>
      <c r="BY447" s="120"/>
      <c r="BZ447" s="120"/>
      <c r="CA447" s="120"/>
      <c r="CB447" s="120"/>
      <c r="CC447" s="120"/>
      <c r="CD447" s="120"/>
    </row>
    <row r="448" spans="1:82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  <c r="BV448" s="120"/>
      <c r="BW448" s="120"/>
      <c r="BX448" s="120"/>
      <c r="BY448" s="120"/>
      <c r="BZ448" s="120"/>
      <c r="CA448" s="120"/>
      <c r="CB448" s="120"/>
      <c r="CC448" s="120"/>
      <c r="CD448" s="120"/>
    </row>
    <row r="449" spans="1:82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  <c r="BV449" s="120"/>
      <c r="BW449" s="120"/>
      <c r="BX449" s="120"/>
      <c r="BY449" s="120"/>
      <c r="BZ449" s="120"/>
      <c r="CA449" s="120"/>
      <c r="CB449" s="120"/>
      <c r="CC449" s="120"/>
      <c r="CD449" s="120"/>
    </row>
    <row r="450" spans="1:82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  <c r="BV450" s="120"/>
      <c r="BW450" s="120"/>
      <c r="BX450" s="120"/>
      <c r="BY450" s="120"/>
      <c r="BZ450" s="120"/>
      <c r="CA450" s="120"/>
      <c r="CB450" s="120"/>
      <c r="CC450" s="120"/>
      <c r="CD450" s="120"/>
    </row>
    <row r="451" spans="1:82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  <c r="BV451" s="120"/>
      <c r="BW451" s="120"/>
      <c r="BX451" s="120"/>
      <c r="BY451" s="120"/>
      <c r="BZ451" s="120"/>
      <c r="CA451" s="120"/>
      <c r="CB451" s="120"/>
      <c r="CC451" s="120"/>
      <c r="CD451" s="120"/>
    </row>
    <row r="452" spans="1:82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20"/>
      <c r="BW452" s="120"/>
      <c r="BX452" s="120"/>
      <c r="BY452" s="120"/>
      <c r="BZ452" s="120"/>
      <c r="CA452" s="120"/>
      <c r="CB452" s="120"/>
      <c r="CC452" s="120"/>
      <c r="CD452" s="120"/>
    </row>
    <row r="453" spans="1:82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20"/>
      <c r="BW453" s="120"/>
      <c r="BX453" s="120"/>
      <c r="BY453" s="120"/>
      <c r="BZ453" s="120"/>
      <c r="CA453" s="120"/>
      <c r="CB453" s="120"/>
      <c r="CC453" s="120"/>
      <c r="CD453" s="120"/>
    </row>
    <row r="454" spans="1:82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</row>
    <row r="455" spans="1:82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20"/>
      <c r="BW455" s="120"/>
      <c r="BX455" s="120"/>
      <c r="BY455" s="120"/>
      <c r="BZ455" s="120"/>
      <c r="CA455" s="120"/>
      <c r="CB455" s="120"/>
      <c r="CC455" s="120"/>
      <c r="CD455" s="120"/>
    </row>
    <row r="456" spans="1:82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</row>
    <row r="457" spans="1:82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20"/>
      <c r="BW457" s="120"/>
      <c r="BX457" s="120"/>
      <c r="BY457" s="120"/>
      <c r="BZ457" s="120"/>
      <c r="CA457" s="120"/>
      <c r="CB457" s="120"/>
      <c r="CC457" s="120"/>
      <c r="CD457" s="120"/>
    </row>
    <row r="458" spans="1:82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20"/>
      <c r="BW458" s="120"/>
      <c r="BX458" s="120"/>
      <c r="BY458" s="120"/>
      <c r="BZ458" s="120"/>
      <c r="CA458" s="120"/>
      <c r="CB458" s="120"/>
      <c r="CC458" s="120"/>
      <c r="CD458" s="120"/>
    </row>
    <row r="459" spans="1:82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20"/>
      <c r="BW459" s="120"/>
      <c r="BX459" s="120"/>
      <c r="BY459" s="120"/>
      <c r="BZ459" s="120"/>
      <c r="CA459" s="120"/>
      <c r="CB459" s="120"/>
      <c r="CC459" s="120"/>
      <c r="CD459" s="120"/>
    </row>
    <row r="460" spans="1:82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20"/>
      <c r="BW460" s="120"/>
      <c r="BX460" s="120"/>
      <c r="BY460" s="120"/>
      <c r="BZ460" s="120"/>
      <c r="CA460" s="120"/>
      <c r="CB460" s="120"/>
      <c r="CC460" s="120"/>
      <c r="CD460" s="120"/>
    </row>
    <row r="461" spans="1:82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20"/>
      <c r="BW461" s="120"/>
      <c r="BX461" s="120"/>
      <c r="BY461" s="120"/>
      <c r="BZ461" s="120"/>
      <c r="CA461" s="120"/>
      <c r="CB461" s="120"/>
      <c r="CC461" s="120"/>
      <c r="CD461" s="120"/>
    </row>
    <row r="462" spans="1:82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20"/>
      <c r="BW462" s="120"/>
      <c r="BX462" s="120"/>
      <c r="BY462" s="120"/>
      <c r="BZ462" s="120"/>
      <c r="CA462" s="120"/>
      <c r="CB462" s="120"/>
      <c r="CC462" s="120"/>
      <c r="CD462" s="120"/>
    </row>
    <row r="463" spans="1:82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20"/>
      <c r="BW463" s="120"/>
      <c r="BX463" s="120"/>
      <c r="BY463" s="120"/>
      <c r="BZ463" s="120"/>
      <c r="CA463" s="120"/>
      <c r="CB463" s="120"/>
      <c r="CC463" s="120"/>
      <c r="CD463" s="120"/>
    </row>
    <row r="464" spans="1:82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20"/>
      <c r="BW464" s="120"/>
      <c r="BX464" s="120"/>
      <c r="BY464" s="120"/>
      <c r="BZ464" s="120"/>
      <c r="CA464" s="120"/>
      <c r="CB464" s="120"/>
      <c r="CC464" s="120"/>
      <c r="CD464" s="120"/>
    </row>
    <row r="465" spans="1:82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20"/>
      <c r="BW465" s="120"/>
      <c r="BX465" s="120"/>
      <c r="BY465" s="120"/>
      <c r="BZ465" s="120"/>
      <c r="CA465" s="120"/>
      <c r="CB465" s="120"/>
      <c r="CC465" s="120"/>
      <c r="CD465" s="120"/>
    </row>
    <row r="466" spans="1:82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20"/>
      <c r="BW466" s="120"/>
      <c r="BX466" s="120"/>
      <c r="BY466" s="120"/>
      <c r="BZ466" s="120"/>
      <c r="CA466" s="120"/>
      <c r="CB466" s="120"/>
      <c r="CC466" s="120"/>
      <c r="CD466" s="120"/>
    </row>
    <row r="467" spans="1:82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20"/>
      <c r="BW467" s="120"/>
      <c r="BX467" s="120"/>
      <c r="BY467" s="120"/>
      <c r="BZ467" s="120"/>
      <c r="CA467" s="120"/>
      <c r="CB467" s="120"/>
      <c r="CC467" s="120"/>
      <c r="CD467" s="120"/>
    </row>
    <row r="468" spans="1:82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20"/>
      <c r="BW468" s="120"/>
      <c r="BX468" s="120"/>
      <c r="BY468" s="120"/>
      <c r="BZ468" s="120"/>
      <c r="CA468" s="120"/>
      <c r="CB468" s="120"/>
      <c r="CC468" s="120"/>
      <c r="CD468" s="120"/>
    </row>
    <row r="469" spans="1:82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20"/>
      <c r="BW469" s="120"/>
      <c r="BX469" s="120"/>
      <c r="BY469" s="120"/>
      <c r="BZ469" s="120"/>
      <c r="CA469" s="120"/>
      <c r="CB469" s="120"/>
      <c r="CC469" s="120"/>
      <c r="CD469" s="120"/>
    </row>
    <row r="470" spans="1:82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20"/>
      <c r="BW470" s="120"/>
      <c r="BX470" s="120"/>
      <c r="BY470" s="120"/>
      <c r="BZ470" s="120"/>
      <c r="CA470" s="120"/>
      <c r="CB470" s="120"/>
      <c r="CC470" s="120"/>
      <c r="CD470" s="120"/>
    </row>
    <row r="471" spans="1:82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20"/>
      <c r="BW471" s="120"/>
      <c r="BX471" s="120"/>
      <c r="BY471" s="120"/>
      <c r="BZ471" s="120"/>
      <c r="CA471" s="120"/>
      <c r="CB471" s="120"/>
      <c r="CC471" s="120"/>
      <c r="CD471" s="120"/>
    </row>
    <row r="472" spans="1:82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0"/>
      <c r="CB472" s="120"/>
      <c r="CC472" s="120"/>
      <c r="CD472" s="120"/>
    </row>
    <row r="473" spans="1:82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20"/>
      <c r="BW473" s="120"/>
      <c r="BX473" s="120"/>
      <c r="BY473" s="120"/>
      <c r="BZ473" s="120"/>
      <c r="CA473" s="120"/>
      <c r="CB473" s="120"/>
      <c r="CC473" s="120"/>
      <c r="CD473" s="120"/>
    </row>
    <row r="474" spans="1:82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20"/>
      <c r="BW474" s="120"/>
      <c r="BX474" s="120"/>
      <c r="BY474" s="120"/>
      <c r="BZ474" s="120"/>
      <c r="CA474" s="120"/>
      <c r="CB474" s="120"/>
      <c r="CC474" s="120"/>
      <c r="CD474" s="120"/>
    </row>
    <row r="475" spans="1:82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20"/>
      <c r="BW475" s="120"/>
      <c r="BX475" s="120"/>
      <c r="BY475" s="120"/>
      <c r="BZ475" s="120"/>
      <c r="CA475" s="120"/>
      <c r="CB475" s="120"/>
      <c r="CC475" s="120"/>
      <c r="CD475" s="120"/>
    </row>
    <row r="476" spans="1:82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20"/>
      <c r="BW476" s="120"/>
      <c r="BX476" s="120"/>
      <c r="BY476" s="120"/>
      <c r="BZ476" s="120"/>
      <c r="CA476" s="120"/>
      <c r="CB476" s="120"/>
      <c r="CC476" s="120"/>
      <c r="CD476" s="120"/>
    </row>
    <row r="477" spans="1:82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20"/>
      <c r="BW477" s="120"/>
      <c r="BX477" s="120"/>
      <c r="BY477" s="120"/>
      <c r="BZ477" s="120"/>
      <c r="CA477" s="120"/>
      <c r="CB477" s="120"/>
      <c r="CC477" s="120"/>
      <c r="CD477" s="120"/>
    </row>
    <row r="478" spans="1:82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20"/>
      <c r="BW478" s="120"/>
      <c r="BX478" s="120"/>
      <c r="BY478" s="120"/>
      <c r="BZ478" s="120"/>
      <c r="CA478" s="120"/>
      <c r="CB478" s="120"/>
      <c r="CC478" s="120"/>
      <c r="CD478" s="120"/>
    </row>
    <row r="479" spans="1:82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20"/>
      <c r="BW479" s="120"/>
      <c r="BX479" s="120"/>
      <c r="BY479" s="120"/>
      <c r="BZ479" s="120"/>
      <c r="CA479" s="120"/>
      <c r="CB479" s="120"/>
      <c r="CC479" s="120"/>
      <c r="CD479" s="120"/>
    </row>
    <row r="480" spans="1:82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20"/>
      <c r="BW480" s="120"/>
      <c r="BX480" s="120"/>
      <c r="BY480" s="120"/>
      <c r="BZ480" s="120"/>
      <c r="CA480" s="120"/>
      <c r="CB480" s="120"/>
      <c r="CC480" s="120"/>
      <c r="CD480" s="120"/>
    </row>
    <row r="481" spans="1:82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</row>
    <row r="482" spans="1:82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20"/>
      <c r="BW482" s="120"/>
      <c r="BX482" s="120"/>
      <c r="BY482" s="120"/>
      <c r="BZ482" s="120"/>
      <c r="CA482" s="120"/>
      <c r="CB482" s="120"/>
      <c r="CC482" s="120"/>
      <c r="CD482" s="120"/>
    </row>
    <row r="483" spans="1:82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20"/>
      <c r="BW483" s="120"/>
      <c r="BX483" s="120"/>
      <c r="BY483" s="120"/>
      <c r="BZ483" s="120"/>
      <c r="CA483" s="120"/>
      <c r="CB483" s="120"/>
      <c r="CC483" s="120"/>
      <c r="CD483" s="120"/>
    </row>
    <row r="484" spans="1:82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20"/>
      <c r="BW484" s="120"/>
      <c r="BX484" s="120"/>
      <c r="BY484" s="120"/>
      <c r="BZ484" s="120"/>
      <c r="CA484" s="120"/>
      <c r="CB484" s="120"/>
      <c r="CC484" s="120"/>
      <c r="CD484" s="120"/>
    </row>
    <row r="485" spans="1:82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20"/>
      <c r="BW485" s="120"/>
      <c r="BX485" s="120"/>
      <c r="BY485" s="120"/>
      <c r="BZ485" s="120"/>
      <c r="CA485" s="120"/>
      <c r="CB485" s="120"/>
      <c r="CC485" s="120"/>
      <c r="CD485" s="120"/>
    </row>
    <row r="486" spans="1:82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20"/>
      <c r="BW486" s="120"/>
      <c r="BX486" s="120"/>
      <c r="BY486" s="120"/>
      <c r="BZ486" s="120"/>
      <c r="CA486" s="120"/>
      <c r="CB486" s="120"/>
      <c r="CC486" s="120"/>
      <c r="CD486" s="120"/>
    </row>
    <row r="487" spans="1:82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20"/>
      <c r="BW487" s="120"/>
      <c r="BX487" s="120"/>
      <c r="BY487" s="120"/>
      <c r="BZ487" s="120"/>
      <c r="CA487" s="120"/>
      <c r="CB487" s="120"/>
      <c r="CC487" s="120"/>
      <c r="CD487" s="120"/>
    </row>
    <row r="488" spans="1:82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20"/>
      <c r="BW488" s="120"/>
      <c r="BX488" s="120"/>
      <c r="BY488" s="120"/>
      <c r="BZ488" s="120"/>
      <c r="CA488" s="120"/>
      <c r="CB488" s="120"/>
      <c r="CC488" s="120"/>
      <c r="CD488" s="120"/>
    </row>
    <row r="489" spans="1:82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20"/>
      <c r="BW489" s="120"/>
      <c r="BX489" s="120"/>
      <c r="BY489" s="120"/>
      <c r="BZ489" s="120"/>
      <c r="CA489" s="120"/>
      <c r="CB489" s="120"/>
      <c r="CC489" s="120"/>
      <c r="CD489" s="120"/>
    </row>
    <row r="490" spans="1:82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20"/>
      <c r="BW490" s="120"/>
      <c r="BX490" s="120"/>
      <c r="BY490" s="120"/>
      <c r="BZ490" s="120"/>
      <c r="CA490" s="120"/>
      <c r="CB490" s="120"/>
      <c r="CC490" s="120"/>
      <c r="CD490" s="120"/>
    </row>
    <row r="491" spans="1:82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20"/>
      <c r="BW491" s="120"/>
      <c r="BX491" s="120"/>
      <c r="BY491" s="120"/>
      <c r="BZ491" s="120"/>
      <c r="CA491" s="120"/>
      <c r="CB491" s="120"/>
      <c r="CC491" s="120"/>
      <c r="CD491" s="120"/>
    </row>
    <row r="492" spans="1:82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20"/>
      <c r="BW492" s="120"/>
      <c r="BX492" s="120"/>
      <c r="BY492" s="120"/>
      <c r="BZ492" s="120"/>
      <c r="CA492" s="120"/>
      <c r="CB492" s="120"/>
      <c r="CC492" s="120"/>
      <c r="CD492" s="120"/>
    </row>
    <row r="493" spans="1:82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20"/>
      <c r="BW493" s="120"/>
      <c r="BX493" s="120"/>
      <c r="BY493" s="120"/>
      <c r="BZ493" s="120"/>
      <c r="CA493" s="120"/>
      <c r="CB493" s="120"/>
      <c r="CC493" s="120"/>
      <c r="CD493" s="120"/>
    </row>
    <row r="494" spans="1:82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20"/>
      <c r="BW494" s="120"/>
      <c r="BX494" s="120"/>
      <c r="BY494" s="120"/>
      <c r="BZ494" s="120"/>
      <c r="CA494" s="120"/>
      <c r="CB494" s="120"/>
      <c r="CC494" s="120"/>
      <c r="CD494" s="120"/>
    </row>
    <row r="495" spans="1:82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20"/>
      <c r="BW495" s="120"/>
      <c r="BX495" s="120"/>
      <c r="BY495" s="120"/>
      <c r="BZ495" s="120"/>
      <c r="CA495" s="120"/>
      <c r="CB495" s="120"/>
      <c r="CC495" s="120"/>
      <c r="CD495" s="120"/>
    </row>
    <row r="496" spans="1:82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20"/>
      <c r="BW496" s="120"/>
      <c r="BX496" s="120"/>
      <c r="BY496" s="120"/>
      <c r="BZ496" s="120"/>
      <c r="CA496" s="120"/>
      <c r="CB496" s="120"/>
      <c r="CC496" s="120"/>
      <c r="CD496" s="120"/>
    </row>
    <row r="497" spans="1:82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20"/>
      <c r="BW497" s="120"/>
      <c r="BX497" s="120"/>
      <c r="BY497" s="120"/>
      <c r="BZ497" s="120"/>
      <c r="CA497" s="120"/>
      <c r="CB497" s="120"/>
      <c r="CC497" s="120"/>
      <c r="CD497" s="120"/>
    </row>
    <row r="498" spans="1:82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20"/>
      <c r="BW498" s="120"/>
      <c r="BX498" s="120"/>
      <c r="BY498" s="120"/>
      <c r="BZ498" s="120"/>
      <c r="CA498" s="120"/>
      <c r="CB498" s="120"/>
      <c r="CC498" s="120"/>
      <c r="CD498" s="120"/>
    </row>
    <row r="499" spans="1:82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20"/>
      <c r="BW499" s="120"/>
      <c r="BX499" s="120"/>
      <c r="BY499" s="120"/>
      <c r="BZ499" s="120"/>
      <c r="CA499" s="120"/>
      <c r="CB499" s="120"/>
      <c r="CC499" s="120"/>
      <c r="CD499" s="120"/>
    </row>
    <row r="500" spans="1:82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20"/>
      <c r="BW500" s="120"/>
      <c r="BX500" s="120"/>
      <c r="BY500" s="120"/>
      <c r="BZ500" s="120"/>
      <c r="CA500" s="120"/>
      <c r="CB500" s="120"/>
      <c r="CC500" s="120"/>
      <c r="CD500" s="120"/>
    </row>
    <row r="501" spans="1:82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20"/>
      <c r="BW501" s="120"/>
      <c r="BX501" s="120"/>
      <c r="BY501" s="120"/>
      <c r="BZ501" s="120"/>
      <c r="CA501" s="120"/>
      <c r="CB501" s="120"/>
      <c r="CC501" s="120"/>
      <c r="CD501" s="120"/>
    </row>
    <row r="502" spans="1:82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20"/>
      <c r="BW502" s="120"/>
      <c r="BX502" s="120"/>
      <c r="BY502" s="120"/>
      <c r="BZ502" s="120"/>
      <c r="CA502" s="120"/>
      <c r="CB502" s="120"/>
      <c r="CC502" s="120"/>
      <c r="CD502" s="120"/>
    </row>
    <row r="503" spans="1:82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20"/>
      <c r="BW503" s="120"/>
      <c r="BX503" s="120"/>
      <c r="BY503" s="120"/>
      <c r="BZ503" s="120"/>
      <c r="CA503" s="120"/>
      <c r="CB503" s="120"/>
      <c r="CC503" s="120"/>
      <c r="CD503" s="120"/>
    </row>
    <row r="504" spans="1:82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20"/>
      <c r="BW504" s="120"/>
      <c r="BX504" s="120"/>
      <c r="BY504" s="120"/>
      <c r="BZ504" s="120"/>
      <c r="CA504" s="120"/>
      <c r="CB504" s="120"/>
      <c r="CC504" s="120"/>
      <c r="CD504" s="120"/>
    </row>
    <row r="505" spans="1:82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20"/>
      <c r="BW505" s="120"/>
      <c r="BX505" s="120"/>
      <c r="BY505" s="120"/>
      <c r="BZ505" s="120"/>
      <c r="CA505" s="120"/>
      <c r="CB505" s="120"/>
      <c r="CC505" s="120"/>
      <c r="CD505" s="120"/>
    </row>
    <row r="506" spans="1:82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20"/>
      <c r="BW506" s="120"/>
      <c r="BX506" s="120"/>
      <c r="BY506" s="120"/>
      <c r="BZ506" s="120"/>
      <c r="CA506" s="120"/>
      <c r="CB506" s="120"/>
      <c r="CC506" s="120"/>
      <c r="CD506" s="120"/>
    </row>
    <row r="507" spans="1:82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20"/>
      <c r="BW507" s="120"/>
      <c r="BX507" s="120"/>
      <c r="BY507" s="120"/>
      <c r="BZ507" s="120"/>
      <c r="CA507" s="120"/>
      <c r="CB507" s="120"/>
      <c r="CC507" s="120"/>
      <c r="CD507" s="120"/>
    </row>
    <row r="508" spans="1:82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20"/>
      <c r="BW508" s="120"/>
      <c r="BX508" s="120"/>
      <c r="BY508" s="120"/>
      <c r="BZ508" s="120"/>
      <c r="CA508" s="120"/>
      <c r="CB508" s="120"/>
      <c r="CC508" s="120"/>
      <c r="CD508" s="120"/>
    </row>
    <row r="509" spans="1:82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20"/>
      <c r="BW509" s="120"/>
      <c r="BX509" s="120"/>
      <c r="BY509" s="120"/>
      <c r="BZ509" s="120"/>
      <c r="CA509" s="120"/>
      <c r="CB509" s="120"/>
      <c r="CC509" s="120"/>
      <c r="CD509" s="120"/>
    </row>
    <row r="510" spans="1:82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20"/>
      <c r="BW510" s="120"/>
      <c r="BX510" s="120"/>
      <c r="BY510" s="120"/>
      <c r="BZ510" s="120"/>
      <c r="CA510" s="120"/>
      <c r="CB510" s="120"/>
      <c r="CC510" s="120"/>
      <c r="CD510" s="120"/>
    </row>
    <row r="511" spans="1:82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20"/>
      <c r="BW511" s="120"/>
      <c r="BX511" s="120"/>
      <c r="BY511" s="120"/>
      <c r="BZ511" s="120"/>
      <c r="CA511" s="120"/>
      <c r="CB511" s="120"/>
      <c r="CC511" s="120"/>
      <c r="CD511" s="120"/>
    </row>
    <row r="512" spans="1:82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20"/>
      <c r="BW512" s="120"/>
      <c r="BX512" s="120"/>
      <c r="BY512" s="120"/>
      <c r="BZ512" s="120"/>
      <c r="CA512" s="120"/>
      <c r="CB512" s="120"/>
      <c r="CC512" s="120"/>
      <c r="CD512" s="120"/>
    </row>
    <row r="513" spans="1:82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20"/>
      <c r="BW513" s="120"/>
      <c r="BX513" s="120"/>
      <c r="BY513" s="120"/>
      <c r="BZ513" s="120"/>
      <c r="CA513" s="120"/>
      <c r="CB513" s="120"/>
      <c r="CC513" s="120"/>
      <c r="CD513" s="120"/>
    </row>
    <row r="514" spans="1:82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20"/>
      <c r="BW514" s="120"/>
      <c r="BX514" s="120"/>
      <c r="BY514" s="120"/>
      <c r="BZ514" s="120"/>
      <c r="CA514" s="120"/>
      <c r="CB514" s="120"/>
      <c r="CC514" s="120"/>
      <c r="CD514" s="120"/>
    </row>
    <row r="515" spans="1:82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20"/>
      <c r="BW515" s="120"/>
      <c r="BX515" s="120"/>
      <c r="BY515" s="120"/>
      <c r="BZ515" s="120"/>
      <c r="CA515" s="120"/>
      <c r="CB515" s="120"/>
      <c r="CC515" s="120"/>
      <c r="CD515" s="120"/>
    </row>
    <row r="516" spans="1:82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20"/>
      <c r="BW516" s="120"/>
      <c r="BX516" s="120"/>
      <c r="BY516" s="120"/>
      <c r="BZ516" s="120"/>
      <c r="CA516" s="120"/>
      <c r="CB516" s="120"/>
      <c r="CC516" s="120"/>
      <c r="CD516" s="120"/>
    </row>
    <row r="517" spans="1:82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20"/>
      <c r="BW517" s="120"/>
      <c r="BX517" s="120"/>
      <c r="BY517" s="120"/>
      <c r="BZ517" s="120"/>
      <c r="CA517" s="120"/>
      <c r="CB517" s="120"/>
      <c r="CC517" s="120"/>
      <c r="CD517" s="120"/>
    </row>
    <row r="518" spans="1:82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20"/>
      <c r="BW518" s="120"/>
      <c r="BX518" s="120"/>
      <c r="BY518" s="120"/>
      <c r="BZ518" s="120"/>
      <c r="CA518" s="120"/>
      <c r="CB518" s="120"/>
      <c r="CC518" s="120"/>
      <c r="CD518" s="120"/>
    </row>
    <row r="519" spans="1:82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20"/>
      <c r="BW519" s="120"/>
      <c r="BX519" s="120"/>
      <c r="BY519" s="120"/>
      <c r="BZ519" s="120"/>
      <c r="CA519" s="120"/>
      <c r="CB519" s="120"/>
      <c r="CC519" s="120"/>
      <c r="CD519" s="120"/>
    </row>
    <row r="520" spans="1:82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20"/>
      <c r="BW520" s="120"/>
      <c r="BX520" s="120"/>
      <c r="BY520" s="120"/>
      <c r="BZ520" s="120"/>
      <c r="CA520" s="120"/>
      <c r="CB520" s="120"/>
      <c r="CC520" s="120"/>
      <c r="CD520" s="120"/>
    </row>
    <row r="521" spans="1:82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20"/>
      <c r="BW521" s="120"/>
      <c r="BX521" s="120"/>
      <c r="BY521" s="120"/>
      <c r="BZ521" s="120"/>
      <c r="CA521" s="120"/>
      <c r="CB521" s="120"/>
      <c r="CC521" s="120"/>
      <c r="CD521" s="120"/>
    </row>
    <row r="522" spans="1:82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20"/>
      <c r="BW522" s="120"/>
      <c r="BX522" s="120"/>
      <c r="BY522" s="120"/>
      <c r="BZ522" s="120"/>
      <c r="CA522" s="120"/>
      <c r="CB522" s="120"/>
      <c r="CC522" s="120"/>
      <c r="CD522" s="120"/>
    </row>
    <row r="523" spans="1:82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20"/>
      <c r="BW523" s="120"/>
      <c r="BX523" s="120"/>
      <c r="BY523" s="120"/>
      <c r="BZ523" s="120"/>
      <c r="CA523" s="120"/>
      <c r="CB523" s="120"/>
      <c r="CC523" s="120"/>
      <c r="CD523" s="120"/>
    </row>
    <row r="524" spans="1:82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20"/>
      <c r="BW524" s="120"/>
      <c r="BX524" s="120"/>
      <c r="BY524" s="120"/>
      <c r="BZ524" s="120"/>
      <c r="CA524" s="120"/>
      <c r="CB524" s="120"/>
      <c r="CC524" s="120"/>
      <c r="CD524" s="120"/>
    </row>
    <row r="525" spans="1:82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20"/>
      <c r="BW525" s="120"/>
      <c r="BX525" s="120"/>
      <c r="BY525" s="120"/>
      <c r="BZ525" s="120"/>
      <c r="CA525" s="120"/>
      <c r="CB525" s="120"/>
      <c r="CC525" s="120"/>
      <c r="CD525" s="120"/>
    </row>
    <row r="526" spans="1:82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20"/>
      <c r="BW526" s="120"/>
      <c r="BX526" s="120"/>
      <c r="BY526" s="120"/>
      <c r="BZ526" s="120"/>
      <c r="CA526" s="120"/>
      <c r="CB526" s="120"/>
      <c r="CC526" s="120"/>
      <c r="CD526" s="120"/>
    </row>
    <row r="527" spans="1:82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20"/>
      <c r="BW527" s="120"/>
      <c r="BX527" s="120"/>
      <c r="BY527" s="120"/>
      <c r="BZ527" s="120"/>
      <c r="CA527" s="120"/>
      <c r="CB527" s="120"/>
      <c r="CC527" s="120"/>
      <c r="CD527" s="120"/>
    </row>
    <row r="528" spans="1:82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20"/>
      <c r="BW528" s="120"/>
      <c r="BX528" s="120"/>
      <c r="BY528" s="120"/>
      <c r="BZ528" s="120"/>
      <c r="CA528" s="120"/>
      <c r="CB528" s="120"/>
      <c r="CC528" s="120"/>
      <c r="CD528" s="120"/>
    </row>
    <row r="529" spans="1:82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20"/>
      <c r="BW529" s="120"/>
      <c r="BX529" s="120"/>
      <c r="BY529" s="120"/>
      <c r="BZ529" s="120"/>
      <c r="CA529" s="120"/>
      <c r="CB529" s="120"/>
      <c r="CC529" s="120"/>
      <c r="CD529" s="120"/>
    </row>
    <row r="530" spans="1:82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20"/>
      <c r="BW530" s="120"/>
      <c r="BX530" s="120"/>
      <c r="BY530" s="120"/>
      <c r="BZ530" s="120"/>
      <c r="CA530" s="120"/>
      <c r="CB530" s="120"/>
      <c r="CC530" s="120"/>
      <c r="CD530" s="120"/>
    </row>
    <row r="531" spans="1:82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20"/>
      <c r="BW531" s="120"/>
      <c r="BX531" s="120"/>
      <c r="BY531" s="120"/>
      <c r="BZ531" s="120"/>
      <c r="CA531" s="120"/>
      <c r="CB531" s="120"/>
      <c r="CC531" s="120"/>
      <c r="CD531" s="120"/>
    </row>
    <row r="532" spans="1:82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20"/>
      <c r="BW532" s="120"/>
      <c r="BX532" s="120"/>
      <c r="BY532" s="120"/>
      <c r="BZ532" s="120"/>
      <c r="CA532" s="120"/>
      <c r="CB532" s="120"/>
      <c r="CC532" s="120"/>
      <c r="CD532" s="120"/>
    </row>
    <row r="533" spans="1:82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20"/>
      <c r="BW533" s="120"/>
      <c r="BX533" s="120"/>
      <c r="BY533" s="120"/>
      <c r="BZ533" s="120"/>
      <c r="CA533" s="120"/>
      <c r="CB533" s="120"/>
      <c r="CC533" s="120"/>
      <c r="CD533" s="120"/>
    </row>
    <row r="534" spans="1:82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20"/>
      <c r="BW534" s="120"/>
      <c r="BX534" s="120"/>
      <c r="BY534" s="120"/>
      <c r="BZ534" s="120"/>
      <c r="CA534" s="120"/>
      <c r="CB534" s="120"/>
      <c r="CC534" s="120"/>
      <c r="CD534" s="120"/>
    </row>
    <row r="535" spans="1:82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20"/>
      <c r="BW535" s="120"/>
      <c r="BX535" s="120"/>
      <c r="BY535" s="120"/>
      <c r="BZ535" s="120"/>
      <c r="CA535" s="120"/>
      <c r="CB535" s="120"/>
      <c r="CC535" s="120"/>
      <c r="CD535" s="120"/>
    </row>
    <row r="536" spans="1:82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20"/>
      <c r="BW536" s="120"/>
      <c r="BX536" s="120"/>
      <c r="BY536" s="120"/>
      <c r="BZ536" s="120"/>
      <c r="CA536" s="120"/>
      <c r="CB536" s="120"/>
      <c r="CC536" s="120"/>
      <c r="CD536" s="120"/>
    </row>
    <row r="537" spans="1:82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20"/>
      <c r="BW537" s="120"/>
      <c r="BX537" s="120"/>
      <c r="BY537" s="120"/>
      <c r="BZ537" s="120"/>
      <c r="CA537" s="120"/>
      <c r="CB537" s="120"/>
      <c r="CC537" s="120"/>
      <c r="CD537" s="120"/>
    </row>
    <row r="538" spans="1:82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20"/>
      <c r="BW538" s="120"/>
      <c r="BX538" s="120"/>
      <c r="BY538" s="120"/>
      <c r="BZ538" s="120"/>
      <c r="CA538" s="120"/>
      <c r="CB538" s="120"/>
      <c r="CC538" s="120"/>
      <c r="CD538" s="120"/>
    </row>
    <row r="539" spans="1:82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20"/>
      <c r="BW539" s="120"/>
      <c r="BX539" s="120"/>
      <c r="BY539" s="120"/>
      <c r="BZ539" s="120"/>
      <c r="CA539" s="120"/>
      <c r="CB539" s="120"/>
      <c r="CC539" s="120"/>
      <c r="CD539" s="120"/>
    </row>
    <row r="540" spans="1:82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20"/>
      <c r="BW540" s="120"/>
      <c r="BX540" s="120"/>
      <c r="BY540" s="120"/>
      <c r="BZ540" s="120"/>
      <c r="CA540" s="120"/>
      <c r="CB540" s="120"/>
      <c r="CC540" s="120"/>
      <c r="CD540" s="120"/>
    </row>
    <row r="541" spans="1:82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20"/>
      <c r="BW541" s="120"/>
      <c r="BX541" s="120"/>
      <c r="BY541" s="120"/>
      <c r="BZ541" s="120"/>
      <c r="CA541" s="120"/>
      <c r="CB541" s="120"/>
      <c r="CC541" s="120"/>
      <c r="CD541" s="120"/>
    </row>
    <row r="542" spans="1:82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20"/>
      <c r="BW542" s="120"/>
      <c r="BX542" s="120"/>
      <c r="BY542" s="120"/>
      <c r="BZ542" s="120"/>
      <c r="CA542" s="120"/>
      <c r="CB542" s="120"/>
      <c r="CC542" s="120"/>
      <c r="CD542" s="120"/>
    </row>
    <row r="543" spans="1:82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20"/>
      <c r="BW543" s="120"/>
      <c r="BX543" s="120"/>
      <c r="BY543" s="120"/>
      <c r="BZ543" s="120"/>
      <c r="CA543" s="120"/>
      <c r="CB543" s="120"/>
      <c r="CC543" s="120"/>
      <c r="CD543" s="120"/>
    </row>
    <row r="544" spans="1:82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20"/>
      <c r="BW544" s="120"/>
      <c r="BX544" s="120"/>
      <c r="BY544" s="120"/>
      <c r="BZ544" s="120"/>
      <c r="CA544" s="120"/>
      <c r="CB544" s="120"/>
      <c r="CC544" s="120"/>
      <c r="CD544" s="120"/>
    </row>
    <row r="545" spans="1:82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20"/>
      <c r="BW545" s="120"/>
      <c r="BX545" s="120"/>
      <c r="BY545" s="120"/>
      <c r="BZ545" s="120"/>
      <c r="CA545" s="120"/>
      <c r="CB545" s="120"/>
      <c r="CC545" s="120"/>
      <c r="CD545" s="120"/>
    </row>
    <row r="546" spans="1:82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20"/>
      <c r="BW546" s="120"/>
      <c r="BX546" s="120"/>
      <c r="BY546" s="120"/>
      <c r="BZ546" s="120"/>
      <c r="CA546" s="120"/>
      <c r="CB546" s="120"/>
      <c r="CC546" s="120"/>
      <c r="CD546" s="120"/>
    </row>
    <row r="547" spans="1:82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20"/>
      <c r="BW547" s="120"/>
      <c r="BX547" s="120"/>
      <c r="BY547" s="120"/>
      <c r="BZ547" s="120"/>
      <c r="CA547" s="120"/>
      <c r="CB547" s="120"/>
      <c r="CC547" s="120"/>
      <c r="CD547" s="120"/>
    </row>
    <row r="548" spans="1:82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20"/>
      <c r="BW548" s="120"/>
      <c r="BX548" s="120"/>
      <c r="BY548" s="120"/>
      <c r="BZ548" s="120"/>
      <c r="CA548" s="120"/>
      <c r="CB548" s="120"/>
      <c r="CC548" s="120"/>
      <c r="CD548" s="120"/>
    </row>
    <row r="549" spans="1:82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20"/>
      <c r="BW549" s="120"/>
      <c r="BX549" s="120"/>
      <c r="BY549" s="120"/>
      <c r="BZ549" s="120"/>
      <c r="CA549" s="120"/>
      <c r="CB549" s="120"/>
      <c r="CC549" s="120"/>
      <c r="CD549" s="120"/>
    </row>
    <row r="550" spans="1:82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20"/>
      <c r="BW550" s="120"/>
      <c r="BX550" s="120"/>
      <c r="BY550" s="120"/>
      <c r="BZ550" s="120"/>
      <c r="CA550" s="120"/>
      <c r="CB550" s="120"/>
      <c r="CC550" s="120"/>
      <c r="CD550" s="120"/>
    </row>
    <row r="551" spans="1:82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20"/>
      <c r="BW551" s="120"/>
      <c r="BX551" s="120"/>
      <c r="BY551" s="120"/>
      <c r="BZ551" s="120"/>
      <c r="CA551" s="120"/>
      <c r="CB551" s="120"/>
      <c r="CC551" s="120"/>
      <c r="CD551" s="120"/>
    </row>
    <row r="552" spans="1:82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20"/>
      <c r="BW552" s="120"/>
      <c r="BX552" s="120"/>
      <c r="BY552" s="120"/>
      <c r="BZ552" s="120"/>
      <c r="CA552" s="120"/>
      <c r="CB552" s="120"/>
      <c r="CC552" s="120"/>
      <c r="CD552" s="120"/>
    </row>
    <row r="553" spans="1:82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20"/>
      <c r="BW553" s="120"/>
      <c r="BX553" s="120"/>
      <c r="BY553" s="120"/>
      <c r="BZ553" s="120"/>
      <c r="CA553" s="120"/>
      <c r="CB553" s="120"/>
      <c r="CC553" s="120"/>
      <c r="CD553" s="120"/>
    </row>
    <row r="554" spans="1:82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20"/>
      <c r="BW554" s="120"/>
      <c r="BX554" s="120"/>
      <c r="BY554" s="120"/>
      <c r="BZ554" s="120"/>
      <c r="CA554" s="120"/>
      <c r="CB554" s="120"/>
      <c r="CC554" s="120"/>
      <c r="CD554" s="120"/>
    </row>
    <row r="555" spans="1:82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20"/>
      <c r="BW555" s="120"/>
      <c r="BX555" s="120"/>
      <c r="BY555" s="120"/>
      <c r="BZ555" s="120"/>
      <c r="CA555" s="120"/>
      <c r="CB555" s="120"/>
      <c r="CC555" s="120"/>
      <c r="CD555" s="120"/>
    </row>
    <row r="556" spans="1:82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20"/>
      <c r="BW556" s="120"/>
      <c r="BX556" s="120"/>
      <c r="BY556" s="120"/>
      <c r="BZ556" s="120"/>
      <c r="CA556" s="120"/>
      <c r="CB556" s="120"/>
      <c r="CC556" s="120"/>
      <c r="CD556" s="120"/>
    </row>
    <row r="557" spans="1:82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20"/>
      <c r="BW557" s="120"/>
      <c r="BX557" s="120"/>
      <c r="BY557" s="120"/>
      <c r="BZ557" s="120"/>
      <c r="CA557" s="120"/>
      <c r="CB557" s="120"/>
      <c r="CC557" s="120"/>
      <c r="CD557" s="120"/>
    </row>
    <row r="558" spans="1:82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20"/>
      <c r="BW558" s="120"/>
      <c r="BX558" s="120"/>
      <c r="BY558" s="120"/>
      <c r="BZ558" s="120"/>
      <c r="CA558" s="120"/>
      <c r="CB558" s="120"/>
      <c r="CC558" s="120"/>
      <c r="CD558" s="120"/>
    </row>
    <row r="559" spans="1:82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20"/>
      <c r="BW559" s="120"/>
      <c r="BX559" s="120"/>
      <c r="BY559" s="120"/>
      <c r="BZ559" s="120"/>
      <c r="CA559" s="120"/>
      <c r="CB559" s="120"/>
      <c r="CC559" s="120"/>
      <c r="CD559" s="120"/>
    </row>
    <row r="560" spans="1:82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20"/>
      <c r="BW560" s="120"/>
      <c r="BX560" s="120"/>
      <c r="BY560" s="120"/>
      <c r="BZ560" s="120"/>
      <c r="CA560" s="120"/>
      <c r="CB560" s="120"/>
      <c r="CC560" s="120"/>
      <c r="CD560" s="120"/>
    </row>
    <row r="561" spans="1:82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20"/>
      <c r="BW561" s="120"/>
      <c r="BX561" s="120"/>
      <c r="BY561" s="120"/>
      <c r="BZ561" s="120"/>
      <c r="CA561" s="120"/>
      <c r="CB561" s="120"/>
      <c r="CC561" s="120"/>
      <c r="CD561" s="120"/>
    </row>
    <row r="562" spans="1:82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20"/>
      <c r="BW562" s="120"/>
      <c r="BX562" s="120"/>
      <c r="BY562" s="120"/>
      <c r="BZ562" s="120"/>
      <c r="CA562" s="120"/>
      <c r="CB562" s="120"/>
      <c r="CC562" s="120"/>
      <c r="CD562" s="120"/>
    </row>
    <row r="563" spans="1:82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20"/>
      <c r="BW563" s="120"/>
      <c r="BX563" s="120"/>
      <c r="BY563" s="120"/>
      <c r="BZ563" s="120"/>
      <c r="CA563" s="120"/>
      <c r="CB563" s="120"/>
      <c r="CC563" s="120"/>
      <c r="CD563" s="120"/>
    </row>
    <row r="564" spans="1:82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20"/>
      <c r="BW564" s="120"/>
      <c r="BX564" s="120"/>
      <c r="BY564" s="120"/>
      <c r="BZ564" s="120"/>
      <c r="CA564" s="120"/>
      <c r="CB564" s="120"/>
      <c r="CC564" s="120"/>
      <c r="CD564" s="120"/>
    </row>
    <row r="565" spans="1:82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20"/>
      <c r="BW565" s="120"/>
      <c r="BX565" s="120"/>
      <c r="BY565" s="120"/>
      <c r="BZ565" s="120"/>
      <c r="CA565" s="120"/>
      <c r="CB565" s="120"/>
      <c r="CC565" s="120"/>
      <c r="CD565" s="120"/>
    </row>
    <row r="566" spans="1:82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20"/>
      <c r="BW566" s="120"/>
      <c r="BX566" s="120"/>
      <c r="BY566" s="120"/>
      <c r="BZ566" s="120"/>
      <c r="CA566" s="120"/>
      <c r="CB566" s="120"/>
      <c r="CC566" s="120"/>
      <c r="CD566" s="120"/>
    </row>
    <row r="567" spans="1:82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20"/>
      <c r="BW567" s="120"/>
      <c r="BX567" s="120"/>
      <c r="BY567" s="120"/>
      <c r="BZ567" s="120"/>
      <c r="CA567" s="120"/>
      <c r="CB567" s="120"/>
      <c r="CC567" s="120"/>
      <c r="CD567" s="120"/>
    </row>
    <row r="568" spans="1:82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0"/>
      <c r="CB568" s="120"/>
      <c r="CC568" s="120"/>
      <c r="CD568" s="120"/>
    </row>
    <row r="569" spans="1:82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20"/>
      <c r="BW569" s="120"/>
      <c r="BX569" s="120"/>
      <c r="BY569" s="120"/>
      <c r="BZ569" s="120"/>
      <c r="CA569" s="120"/>
      <c r="CB569" s="120"/>
      <c r="CC569" s="120"/>
      <c r="CD569" s="120"/>
    </row>
    <row r="570" spans="1:82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20"/>
      <c r="BW570" s="120"/>
      <c r="BX570" s="120"/>
      <c r="BY570" s="120"/>
      <c r="BZ570" s="120"/>
      <c r="CA570" s="120"/>
      <c r="CB570" s="120"/>
      <c r="CC570" s="120"/>
      <c r="CD570" s="120"/>
    </row>
    <row r="571" spans="1:82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20"/>
      <c r="BW571" s="120"/>
      <c r="BX571" s="120"/>
      <c r="BY571" s="120"/>
      <c r="BZ571" s="120"/>
      <c r="CA571" s="120"/>
      <c r="CB571" s="120"/>
      <c r="CC571" s="120"/>
      <c r="CD571" s="120"/>
    </row>
    <row r="572" spans="1:82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20"/>
      <c r="BW572" s="120"/>
      <c r="BX572" s="120"/>
      <c r="BY572" s="120"/>
      <c r="BZ572" s="120"/>
      <c r="CA572" s="120"/>
      <c r="CB572" s="120"/>
      <c r="CC572" s="120"/>
      <c r="CD572" s="120"/>
    </row>
    <row r="573" spans="1:82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20"/>
      <c r="BW573" s="120"/>
      <c r="BX573" s="120"/>
      <c r="BY573" s="120"/>
      <c r="BZ573" s="120"/>
      <c r="CA573" s="120"/>
      <c r="CB573" s="120"/>
      <c r="CC573" s="120"/>
      <c r="CD573" s="120"/>
    </row>
    <row r="574" spans="1:82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20"/>
      <c r="BW574" s="120"/>
      <c r="BX574" s="120"/>
      <c r="BY574" s="120"/>
      <c r="BZ574" s="120"/>
      <c r="CA574" s="120"/>
      <c r="CB574" s="120"/>
      <c r="CC574" s="120"/>
      <c r="CD574" s="120"/>
    </row>
    <row r="575" spans="1:82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20"/>
      <c r="BW575" s="120"/>
      <c r="BX575" s="120"/>
      <c r="BY575" s="120"/>
      <c r="BZ575" s="120"/>
      <c r="CA575" s="120"/>
      <c r="CB575" s="120"/>
      <c r="CC575" s="120"/>
      <c r="CD575" s="120"/>
    </row>
    <row r="576" spans="1:82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20"/>
      <c r="BW576" s="120"/>
      <c r="BX576" s="120"/>
      <c r="BY576" s="120"/>
      <c r="BZ576" s="120"/>
      <c r="CA576" s="120"/>
      <c r="CB576" s="120"/>
      <c r="CC576" s="120"/>
      <c r="CD576" s="120"/>
    </row>
    <row r="577" spans="1:82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20"/>
      <c r="BW577" s="120"/>
      <c r="BX577" s="120"/>
      <c r="BY577" s="120"/>
      <c r="BZ577" s="120"/>
      <c r="CA577" s="120"/>
      <c r="CB577" s="120"/>
      <c r="CC577" s="120"/>
      <c r="CD577" s="120"/>
    </row>
    <row r="578" spans="1:82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20"/>
      <c r="BW578" s="120"/>
      <c r="BX578" s="120"/>
      <c r="BY578" s="120"/>
      <c r="BZ578" s="120"/>
      <c r="CA578" s="120"/>
      <c r="CB578" s="120"/>
      <c r="CC578" s="120"/>
      <c r="CD578" s="120"/>
    </row>
    <row r="579" spans="1:82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20"/>
      <c r="BW579" s="120"/>
      <c r="BX579" s="120"/>
      <c r="BY579" s="120"/>
      <c r="BZ579" s="120"/>
      <c r="CA579" s="120"/>
      <c r="CB579" s="120"/>
      <c r="CC579" s="120"/>
      <c r="CD579" s="120"/>
    </row>
    <row r="580" spans="1:82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20"/>
      <c r="BW580" s="120"/>
      <c r="BX580" s="120"/>
      <c r="BY580" s="120"/>
      <c r="BZ580" s="120"/>
      <c r="CA580" s="120"/>
      <c r="CB580" s="120"/>
      <c r="CC580" s="120"/>
      <c r="CD580" s="120"/>
    </row>
    <row r="581" spans="1:82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20"/>
      <c r="BW581" s="120"/>
      <c r="BX581" s="120"/>
      <c r="BY581" s="120"/>
      <c r="BZ581" s="120"/>
      <c r="CA581" s="120"/>
      <c r="CB581" s="120"/>
      <c r="CC581" s="120"/>
      <c r="CD581" s="120"/>
    </row>
    <row r="582" spans="1:82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20"/>
      <c r="BW582" s="120"/>
      <c r="BX582" s="120"/>
      <c r="BY582" s="120"/>
      <c r="BZ582" s="120"/>
      <c r="CA582" s="120"/>
      <c r="CB582" s="120"/>
      <c r="CC582" s="120"/>
      <c r="CD582" s="120"/>
    </row>
    <row r="583" spans="1:82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20"/>
      <c r="BW583" s="120"/>
      <c r="BX583" s="120"/>
      <c r="BY583" s="120"/>
      <c r="BZ583" s="120"/>
      <c r="CA583" s="120"/>
      <c r="CB583" s="120"/>
      <c r="CC583" s="120"/>
      <c r="CD583" s="120"/>
    </row>
    <row r="584" spans="1:82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20"/>
      <c r="BW584" s="120"/>
      <c r="BX584" s="120"/>
      <c r="BY584" s="120"/>
      <c r="BZ584" s="120"/>
      <c r="CA584" s="120"/>
      <c r="CB584" s="120"/>
      <c r="CC584" s="120"/>
      <c r="CD584" s="120"/>
    </row>
    <row r="585" spans="1:82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20"/>
      <c r="BW585" s="120"/>
      <c r="BX585" s="120"/>
      <c r="BY585" s="120"/>
      <c r="BZ585" s="120"/>
      <c r="CA585" s="120"/>
      <c r="CB585" s="120"/>
      <c r="CC585" s="120"/>
      <c r="CD585" s="120"/>
    </row>
    <row r="586" spans="1:82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20"/>
      <c r="BW586" s="120"/>
      <c r="BX586" s="120"/>
      <c r="BY586" s="120"/>
      <c r="BZ586" s="120"/>
      <c r="CA586" s="120"/>
      <c r="CB586" s="120"/>
      <c r="CC586" s="120"/>
      <c r="CD586" s="120"/>
    </row>
    <row r="587" spans="1:82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20"/>
      <c r="BW587" s="120"/>
      <c r="BX587" s="120"/>
      <c r="BY587" s="120"/>
      <c r="BZ587" s="120"/>
      <c r="CA587" s="120"/>
      <c r="CB587" s="120"/>
      <c r="CC587" s="120"/>
      <c r="CD587" s="120"/>
    </row>
    <row r="588" spans="1:82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20"/>
      <c r="BW588" s="120"/>
      <c r="BX588" s="120"/>
      <c r="BY588" s="120"/>
      <c r="BZ588" s="120"/>
      <c r="CA588" s="120"/>
      <c r="CB588" s="120"/>
      <c r="CC588" s="120"/>
      <c r="CD588" s="120"/>
    </row>
    <row r="589" spans="1:82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20"/>
      <c r="BW589" s="120"/>
      <c r="BX589" s="120"/>
      <c r="BY589" s="120"/>
      <c r="BZ589" s="120"/>
      <c r="CA589" s="120"/>
      <c r="CB589" s="120"/>
      <c r="CC589" s="120"/>
      <c r="CD589" s="120"/>
    </row>
    <row r="590" spans="1:82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20"/>
      <c r="BW590" s="120"/>
      <c r="BX590" s="120"/>
      <c r="BY590" s="120"/>
      <c r="BZ590" s="120"/>
      <c r="CA590" s="120"/>
      <c r="CB590" s="120"/>
      <c r="CC590" s="120"/>
      <c r="CD590" s="120"/>
    </row>
    <row r="591" spans="1:82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20"/>
      <c r="BW591" s="120"/>
      <c r="BX591" s="120"/>
      <c r="BY591" s="120"/>
      <c r="BZ591" s="120"/>
      <c r="CA591" s="120"/>
      <c r="CB591" s="120"/>
      <c r="CC591" s="120"/>
      <c r="CD591" s="120"/>
    </row>
    <row r="592" spans="1:82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20"/>
      <c r="BW592" s="120"/>
      <c r="BX592" s="120"/>
      <c r="BY592" s="120"/>
      <c r="BZ592" s="120"/>
      <c r="CA592" s="120"/>
      <c r="CB592" s="120"/>
      <c r="CC592" s="120"/>
      <c r="CD592" s="120"/>
    </row>
    <row r="593" spans="1:82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20"/>
      <c r="BW593" s="120"/>
      <c r="BX593" s="120"/>
      <c r="BY593" s="120"/>
      <c r="BZ593" s="120"/>
      <c r="CA593" s="120"/>
      <c r="CB593" s="120"/>
      <c r="CC593" s="120"/>
      <c r="CD593" s="120"/>
    </row>
    <row r="594" spans="1:82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20"/>
      <c r="BW594" s="120"/>
      <c r="BX594" s="120"/>
      <c r="BY594" s="120"/>
      <c r="BZ594" s="120"/>
      <c r="CA594" s="120"/>
      <c r="CB594" s="120"/>
      <c r="CC594" s="120"/>
      <c r="CD594" s="120"/>
    </row>
    <row r="595" spans="1:82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20"/>
      <c r="BW595" s="120"/>
      <c r="BX595" s="120"/>
      <c r="BY595" s="120"/>
      <c r="BZ595" s="120"/>
      <c r="CA595" s="120"/>
      <c r="CB595" s="120"/>
      <c r="CC595" s="120"/>
      <c r="CD595" s="120"/>
    </row>
    <row r="596" spans="1:82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20"/>
      <c r="BW596" s="120"/>
      <c r="BX596" s="120"/>
      <c r="BY596" s="120"/>
      <c r="BZ596" s="120"/>
      <c r="CA596" s="120"/>
      <c r="CB596" s="120"/>
      <c r="CC596" s="120"/>
      <c r="CD596" s="120"/>
    </row>
    <row r="597" spans="1:82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20"/>
      <c r="BW597" s="120"/>
      <c r="BX597" s="120"/>
      <c r="BY597" s="120"/>
      <c r="BZ597" s="120"/>
      <c r="CA597" s="120"/>
      <c r="CB597" s="120"/>
      <c r="CC597" s="120"/>
      <c r="CD597" s="120"/>
    </row>
    <row r="598" spans="1:82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20"/>
      <c r="BW598" s="120"/>
      <c r="BX598" s="120"/>
      <c r="BY598" s="120"/>
      <c r="BZ598" s="120"/>
      <c r="CA598" s="120"/>
      <c r="CB598" s="120"/>
      <c r="CC598" s="120"/>
      <c r="CD598" s="120"/>
    </row>
    <row r="599" spans="1:82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20"/>
      <c r="BW599" s="120"/>
      <c r="BX599" s="120"/>
      <c r="BY599" s="120"/>
      <c r="BZ599" s="120"/>
      <c r="CA599" s="120"/>
      <c r="CB599" s="120"/>
      <c r="CC599" s="120"/>
      <c r="CD599" s="120"/>
    </row>
    <row r="600" spans="1:82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20"/>
      <c r="BW600" s="120"/>
      <c r="BX600" s="120"/>
      <c r="BY600" s="120"/>
      <c r="BZ600" s="120"/>
      <c r="CA600" s="120"/>
      <c r="CB600" s="120"/>
      <c r="CC600" s="120"/>
      <c r="CD600" s="120"/>
    </row>
    <row r="601" spans="1:82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20"/>
      <c r="BW601" s="120"/>
      <c r="BX601" s="120"/>
      <c r="BY601" s="120"/>
      <c r="BZ601" s="120"/>
      <c r="CA601" s="120"/>
      <c r="CB601" s="120"/>
      <c r="CC601" s="120"/>
      <c r="CD601" s="120"/>
    </row>
    <row r="602" spans="1:82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20"/>
      <c r="BW602" s="120"/>
      <c r="BX602" s="120"/>
      <c r="BY602" s="120"/>
      <c r="BZ602" s="120"/>
      <c r="CA602" s="120"/>
      <c r="CB602" s="120"/>
      <c r="CC602" s="120"/>
      <c r="CD602" s="120"/>
    </row>
    <row r="603" spans="1:82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20"/>
      <c r="BW603" s="120"/>
      <c r="BX603" s="120"/>
      <c r="BY603" s="120"/>
      <c r="BZ603" s="120"/>
      <c r="CA603" s="120"/>
      <c r="CB603" s="120"/>
      <c r="CC603" s="120"/>
      <c r="CD603" s="120"/>
    </row>
    <row r="604" spans="1:82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20"/>
      <c r="BW604" s="120"/>
      <c r="BX604" s="120"/>
      <c r="BY604" s="120"/>
      <c r="BZ604" s="120"/>
      <c r="CA604" s="120"/>
      <c r="CB604" s="120"/>
      <c r="CC604" s="120"/>
      <c r="CD604" s="120"/>
    </row>
    <row r="605" spans="1:82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20"/>
      <c r="BW605" s="120"/>
      <c r="BX605" s="120"/>
      <c r="BY605" s="120"/>
      <c r="BZ605" s="120"/>
      <c r="CA605" s="120"/>
      <c r="CB605" s="120"/>
      <c r="CC605" s="120"/>
      <c r="CD605" s="120"/>
    </row>
    <row r="606" spans="1:82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20"/>
      <c r="BW606" s="120"/>
      <c r="BX606" s="120"/>
      <c r="BY606" s="120"/>
      <c r="BZ606" s="120"/>
      <c r="CA606" s="120"/>
      <c r="CB606" s="120"/>
      <c r="CC606" s="120"/>
      <c r="CD606" s="120"/>
    </row>
    <row r="607" spans="1:82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20"/>
      <c r="BW607" s="120"/>
      <c r="BX607" s="120"/>
      <c r="BY607" s="120"/>
      <c r="BZ607" s="120"/>
      <c r="CA607" s="120"/>
      <c r="CB607" s="120"/>
      <c r="CC607" s="120"/>
      <c r="CD607" s="120"/>
    </row>
    <row r="608" spans="1:82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20"/>
      <c r="BW608" s="120"/>
      <c r="BX608" s="120"/>
      <c r="BY608" s="120"/>
      <c r="BZ608" s="120"/>
      <c r="CA608" s="120"/>
      <c r="CB608" s="120"/>
      <c r="CC608" s="120"/>
      <c r="CD608" s="120"/>
    </row>
    <row r="609" spans="1:82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20"/>
      <c r="BW609" s="120"/>
      <c r="BX609" s="120"/>
      <c r="BY609" s="120"/>
      <c r="BZ609" s="120"/>
      <c r="CA609" s="120"/>
      <c r="CB609" s="120"/>
      <c r="CC609" s="120"/>
      <c r="CD609" s="120"/>
    </row>
    <row r="610" spans="1:82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20"/>
      <c r="BW610" s="120"/>
      <c r="BX610" s="120"/>
      <c r="BY610" s="120"/>
      <c r="BZ610" s="120"/>
      <c r="CA610" s="120"/>
      <c r="CB610" s="120"/>
      <c r="CC610" s="120"/>
      <c r="CD610" s="120"/>
    </row>
    <row r="611" spans="1:82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20"/>
      <c r="BW611" s="120"/>
      <c r="BX611" s="120"/>
      <c r="BY611" s="120"/>
      <c r="BZ611" s="120"/>
      <c r="CA611" s="120"/>
      <c r="CB611" s="120"/>
      <c r="CC611" s="120"/>
      <c r="CD611" s="120"/>
    </row>
    <row r="612" spans="1:82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20"/>
      <c r="BW612" s="120"/>
      <c r="BX612" s="120"/>
      <c r="BY612" s="120"/>
      <c r="BZ612" s="120"/>
      <c r="CA612" s="120"/>
      <c r="CB612" s="120"/>
      <c r="CC612" s="120"/>
      <c r="CD612" s="120"/>
    </row>
    <row r="613" spans="1:82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20"/>
      <c r="BW613" s="120"/>
      <c r="BX613" s="120"/>
      <c r="BY613" s="120"/>
      <c r="BZ613" s="120"/>
      <c r="CA613" s="120"/>
      <c r="CB613" s="120"/>
      <c r="CC613" s="120"/>
      <c r="CD613" s="120"/>
    </row>
    <row r="614" spans="1:82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20"/>
      <c r="BW614" s="120"/>
      <c r="BX614" s="120"/>
      <c r="BY614" s="120"/>
      <c r="BZ614" s="120"/>
      <c r="CA614" s="120"/>
      <c r="CB614" s="120"/>
      <c r="CC614" s="120"/>
      <c r="CD614" s="120"/>
    </row>
    <row r="615" spans="1:82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20"/>
      <c r="BW615" s="120"/>
      <c r="BX615" s="120"/>
      <c r="BY615" s="120"/>
      <c r="BZ615" s="120"/>
      <c r="CA615" s="120"/>
      <c r="CB615" s="120"/>
      <c r="CC615" s="120"/>
      <c r="CD615" s="120"/>
    </row>
    <row r="616" spans="1:82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20"/>
      <c r="BW616" s="120"/>
      <c r="BX616" s="120"/>
      <c r="BY616" s="120"/>
      <c r="BZ616" s="120"/>
      <c r="CA616" s="120"/>
      <c r="CB616" s="120"/>
      <c r="CC616" s="120"/>
      <c r="CD616" s="120"/>
    </row>
    <row r="617" spans="1:82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</row>
    <row r="618" spans="1:82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20"/>
      <c r="BW618" s="120"/>
      <c r="BX618" s="120"/>
      <c r="BY618" s="120"/>
      <c r="BZ618" s="120"/>
      <c r="CA618" s="120"/>
      <c r="CB618" s="120"/>
      <c r="CC618" s="120"/>
      <c r="CD618" s="120"/>
    </row>
    <row r="619" spans="1:82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20"/>
      <c r="BW619" s="120"/>
      <c r="BX619" s="120"/>
      <c r="BY619" s="120"/>
      <c r="BZ619" s="120"/>
      <c r="CA619" s="120"/>
      <c r="CB619" s="120"/>
      <c r="CC619" s="120"/>
      <c r="CD619" s="120"/>
    </row>
    <row r="620" spans="1:82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20"/>
      <c r="BW620" s="120"/>
      <c r="BX620" s="120"/>
      <c r="BY620" s="120"/>
      <c r="BZ620" s="120"/>
      <c r="CA620" s="120"/>
      <c r="CB620" s="120"/>
      <c r="CC620" s="120"/>
      <c r="CD620" s="120"/>
    </row>
    <row r="621" spans="1:82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20"/>
      <c r="BW621" s="120"/>
      <c r="BX621" s="120"/>
      <c r="BY621" s="120"/>
      <c r="BZ621" s="120"/>
      <c r="CA621" s="120"/>
      <c r="CB621" s="120"/>
      <c r="CC621" s="120"/>
      <c r="CD621" s="120"/>
    </row>
    <row r="622" spans="1:82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20"/>
      <c r="BW622" s="120"/>
      <c r="BX622" s="120"/>
      <c r="BY622" s="120"/>
      <c r="BZ622" s="120"/>
      <c r="CA622" s="120"/>
      <c r="CB622" s="120"/>
      <c r="CC622" s="120"/>
      <c r="CD622" s="120"/>
    </row>
    <row r="623" spans="1:82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20"/>
      <c r="BW623" s="120"/>
      <c r="BX623" s="120"/>
      <c r="BY623" s="120"/>
      <c r="BZ623" s="120"/>
      <c r="CA623" s="120"/>
      <c r="CB623" s="120"/>
      <c r="CC623" s="120"/>
      <c r="CD623" s="120"/>
    </row>
    <row r="624" spans="1:82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20"/>
      <c r="BW624" s="120"/>
      <c r="BX624" s="120"/>
      <c r="BY624" s="120"/>
      <c r="BZ624" s="120"/>
      <c r="CA624" s="120"/>
      <c r="CB624" s="120"/>
      <c r="CC624" s="120"/>
      <c r="CD624" s="120"/>
    </row>
    <row r="625" spans="1:82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C625" s="120"/>
      <c r="CD625" s="120"/>
    </row>
    <row r="626" spans="1:82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20"/>
      <c r="BW626" s="120"/>
      <c r="BX626" s="120"/>
      <c r="BY626" s="120"/>
      <c r="BZ626" s="120"/>
      <c r="CA626" s="120"/>
      <c r="CB626" s="120"/>
      <c r="CC626" s="120"/>
      <c r="CD626" s="120"/>
    </row>
    <row r="627" spans="1:82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20"/>
      <c r="BW627" s="120"/>
      <c r="BX627" s="120"/>
      <c r="BY627" s="120"/>
      <c r="BZ627" s="120"/>
      <c r="CA627" s="120"/>
      <c r="CB627" s="120"/>
      <c r="CC627" s="120"/>
      <c r="CD627" s="120"/>
    </row>
    <row r="628" spans="1:82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20"/>
      <c r="BW628" s="120"/>
      <c r="BX628" s="120"/>
      <c r="BY628" s="120"/>
      <c r="BZ628" s="120"/>
      <c r="CA628" s="120"/>
      <c r="CB628" s="120"/>
      <c r="CC628" s="120"/>
      <c r="CD628" s="120"/>
    </row>
    <row r="629" spans="1:82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C629" s="120"/>
      <c r="CD629" s="120"/>
    </row>
    <row r="630" spans="1:82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C630" s="120"/>
      <c r="CD630" s="120"/>
    </row>
    <row r="631" spans="1:82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</row>
    <row r="632" spans="1:82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</row>
    <row r="633" spans="1:82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</row>
    <row r="634" spans="1:82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</row>
    <row r="635" spans="1:82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</row>
    <row r="636" spans="1:82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</row>
    <row r="637" spans="1:82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</row>
    <row r="638" spans="1:82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</row>
    <row r="639" spans="1:82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</row>
    <row r="640" spans="1:82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</row>
    <row r="641" spans="1:82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</row>
    <row r="642" spans="1:82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</row>
    <row r="643" spans="1:82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</row>
    <row r="644" spans="1:82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</row>
    <row r="645" spans="1:82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</row>
    <row r="646" spans="1:82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</row>
    <row r="647" spans="1:82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</row>
    <row r="648" spans="1:82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</row>
    <row r="649" spans="1:82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</row>
    <row r="650" spans="1:82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</row>
    <row r="651" spans="1:82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</row>
    <row r="652" spans="1:82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</row>
    <row r="653" spans="1:82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</row>
    <row r="654" spans="1:82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</row>
    <row r="655" spans="1:82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</row>
    <row r="656" spans="1:82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</row>
    <row r="657" spans="1:82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</row>
    <row r="658" spans="1:82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</row>
    <row r="659" spans="1:82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</row>
    <row r="660" spans="1:82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</row>
    <row r="661" spans="1:82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</row>
    <row r="662" spans="1:82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</row>
  </sheetData>
  <sheetProtection password="F972" sheet="1" objects="1" scenarios="1"/>
  <mergeCells count="31">
    <mergeCell ref="B16:G16"/>
    <mergeCell ref="B19:G19"/>
    <mergeCell ref="BG21:CC21"/>
    <mergeCell ref="AR21:AS21"/>
    <mergeCell ref="Y21:AA21"/>
    <mergeCell ref="B21:D21"/>
    <mergeCell ref="Q21:S21"/>
    <mergeCell ref="U21:W21"/>
    <mergeCell ref="AL21:AN21"/>
    <mergeCell ref="AC21:AF21"/>
    <mergeCell ref="AH21:AJ21"/>
    <mergeCell ref="L21:O21"/>
    <mergeCell ref="AY21:BA21"/>
    <mergeCell ref="BC21:BE21"/>
    <mergeCell ref="AU21:AW21"/>
    <mergeCell ref="F24:I24"/>
    <mergeCell ref="C1:H1"/>
    <mergeCell ref="B17:G17"/>
    <mergeCell ref="B18:G18"/>
    <mergeCell ref="F21:J21"/>
    <mergeCell ref="B6:G6"/>
    <mergeCell ref="B5:G5"/>
    <mergeCell ref="B7:G7"/>
    <mergeCell ref="B8:G8"/>
    <mergeCell ref="B9:G9"/>
    <mergeCell ref="B10:G10"/>
    <mergeCell ref="B11:G11"/>
    <mergeCell ref="B12:G12"/>
    <mergeCell ref="B13:G13"/>
    <mergeCell ref="B14:G14"/>
    <mergeCell ref="B15:G15"/>
  </mergeCells>
  <conditionalFormatting sqref="CC124:CD124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{39B7DF1B-1837-458C-A226-BB980882B796}</x14:id>
        </ext>
      </extLst>
    </cfRule>
  </conditionalFormatting>
  <hyperlinks>
    <hyperlink ref="B5" location="TIPO_VEICOLO" display="TIPO_VEICOLO"/>
    <hyperlink ref="B6" location="TIPO_OPERAZIONE" display="TIPO_OPERAZIONE"/>
    <hyperlink ref="B7" location="COMBUSTIBILE" display="COMBUSTIBILE"/>
    <hyperlink ref="B8" location="FRENI_SERVIZIO" display="FRENI_SERVIZIO"/>
    <hyperlink ref="B9" location="SERVOSTERZO" display="SERVOSTERZO"/>
    <hyperlink ref="B11" location="LIMITATORE_VELOCITA" display="LIMITATORE_VELOCITA"/>
    <hyperlink ref="B12" location="ABS" display="ABS"/>
    <hyperlink ref="B13" location="TEMPI" display="TEMPI"/>
    <hyperlink ref="B14" location="FUORISTRADA" display="FUORISTRADA"/>
    <hyperlink ref="B10" location="NAZIONALITA" display="NAZIONALITA'"/>
    <hyperlink ref="B5:C5" location="TIPO_OPERAZIONE" display="ALLEGATO A: MACCHINE AGRICOLE (OPERATRICI E RIMORCHI) e MACCHINE OPERATRICI"/>
    <hyperlink ref="B19" location="TIPI_OMOLOGAZIONE" display="TIPI_OMOLOGAZIONE"/>
    <hyperlink ref="B16" location="CATEGORIE_INTERNAZIONALI" display="CATEGORIE_INTERNAZIONALI"/>
    <hyperlink ref="B15" location="CAMBIO" display="CAMBIO"/>
    <hyperlink ref="B5:G5" location="TIPO_OPERAZIONE" display="TIPO_OPERAZIONE"/>
    <hyperlink ref="B6:G6" location="ALLEGATO_A" display="ALLEGATO_A"/>
    <hyperlink ref="B7:G7" location="ALLEGATO_B" display="ALLEGATO_B"/>
    <hyperlink ref="B8:G8" location="ALLEGATO_C" display="ALLEGATO_C"/>
    <hyperlink ref="B9:G9" location="ALLEGATO_D" display="ALLEGATO_D"/>
    <hyperlink ref="B10:G10" location="ALLEGATO_E" display="ALLEGATO_E"/>
    <hyperlink ref="B11:G11" location="ALLEGATO_F" display="ALLEGATO_F"/>
    <hyperlink ref="B12:G12" location="TIPOLOGIA_VEICOLO_TRAINANTE" display="TIPOLOGIA_VEICOLO_TRAINANTE"/>
    <hyperlink ref="B13:G13" location="NAZIONALITA" display="NAZIONALITA"/>
    <hyperlink ref="B14:G14" location="TEMPI" display="TEMPI"/>
    <hyperlink ref="B15:G15" location="TIPI_OMOLOGAZIONE" display="TIPI_OMOLOGAZIONE"/>
    <hyperlink ref="B16:G16" location="SAGOMA_FERROVIARIA" display="SAGOMA_FERROVIARIA"/>
    <hyperlink ref="B19:G19" location="ASTERISCATE" display="ASTERISCATE"/>
    <hyperlink ref="B17:G17" location="PNEU_1" display="PNEU_1"/>
    <hyperlink ref="B18:G18" location="DIRETTIVE_CEE" display="DIRETTIVE_CEE"/>
    <hyperlink ref="J20" location="INDICE" display="&lt;&lt; INDICE"/>
    <hyperlink ref="O20" location="INDICE" display="&lt;&lt; INDICE"/>
    <hyperlink ref="S20" location="INDICE" display="&lt;&lt; INDICE"/>
    <hyperlink ref="W20" location="INDICE" display="&lt;&lt; INDICE"/>
    <hyperlink ref="AA20" location="INDICE" display="&lt;&lt; INDICE"/>
    <hyperlink ref="AF20" location="INDICE" display="&lt;&lt; INDICE"/>
    <hyperlink ref="AJ20" location="INDICE" display="&lt;&lt; INDICE"/>
    <hyperlink ref="AN20" location="INDICE" display="&lt;&lt; INDICE"/>
    <hyperlink ref="AS20" location="INDICE" display="&lt;&lt; INDICE"/>
    <hyperlink ref="AW20" location="INDICE" display="&lt;&lt; INDICE"/>
    <hyperlink ref="BA20" location="INDICE" display="&lt;&lt; INDICE"/>
    <hyperlink ref="BE20" location="INDICE" display="&lt;&lt; INDICE"/>
    <hyperlink ref="CC20" location="INDICE" display="&lt;&lt; INDICE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B7DF1B-1837-458C-A226-BB980882B7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CC124:CD124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rgb="FFFFC000"/>
  </sheetPr>
  <dimension ref="A1:E20"/>
  <sheetViews>
    <sheetView zoomScaleNormal="100" workbookViewId="0">
      <pane ySplit="2" topLeftCell="A3" activePane="bottomLeft" state="frozen"/>
      <selection activeCell="D7" sqref="D7"/>
      <selection pane="bottomLeft" activeCell="D7" sqref="D7"/>
    </sheetView>
  </sheetViews>
  <sheetFormatPr defaultRowHeight="15" x14ac:dyDescent="0.25"/>
  <cols>
    <col min="1" max="1" width="1.85546875" customWidth="1"/>
    <col min="2" max="2" width="26" customWidth="1"/>
    <col min="3" max="3" width="21.5703125" customWidth="1"/>
    <col min="4" max="4" width="108" customWidth="1"/>
    <col min="5" max="5" width="29.5703125" customWidth="1"/>
  </cols>
  <sheetData>
    <row r="1" spans="1:5" ht="26.25" customHeight="1" x14ac:dyDescent="0.25">
      <c r="A1" s="31"/>
      <c r="B1" s="407" t="str">
        <f>VERSIONE</f>
        <v>v1.5</v>
      </c>
      <c r="C1" s="606" t="str">
        <f>AUTORE</f>
        <v>Centro Prova Autoveicoli di Milano con sezione di Brescia</v>
      </c>
      <c r="D1" s="606"/>
    </row>
    <row r="2" spans="1:5" ht="21.75" thickBot="1" x14ac:dyDescent="0.4">
      <c r="A2" s="408"/>
      <c r="B2" s="122" t="s">
        <v>748</v>
      </c>
      <c r="C2" s="123"/>
      <c r="D2" s="123"/>
      <c r="E2" s="31"/>
    </row>
    <row r="3" spans="1:5" ht="5.25" customHeight="1" thickBot="1" x14ac:dyDescent="0.3">
      <c r="A3" s="31"/>
      <c r="B3" s="31"/>
      <c r="C3" s="31"/>
      <c r="D3" s="31"/>
      <c r="E3" s="31"/>
    </row>
    <row r="4" spans="1:5" s="24" customFormat="1" ht="32.25" customHeight="1" x14ac:dyDescent="0.25">
      <c r="A4" s="32"/>
      <c r="B4" s="594" t="str">
        <f>INSERIMENTO!B4</f>
        <v>BCS</v>
      </c>
      <c r="C4" s="25" t="s">
        <v>749</v>
      </c>
      <c r="D4" s="28" t="str">
        <f>STRINGA!CQ2</f>
        <v xml:space="preserve">IIEU96125MOCPBS/23012023E3*2010/22/0084*07                               1SABS  BCS ARH2/3 AKV 05B VOLCAN K 105 AR      Ikubota v3800-cr-t-eu3              G  400037697210                    000000004295165013501450350 1495000000000203500003500003500000000000000 340/65 R20 124A8 121B S.S.                                         008404384MO                                                     M    MO        04295135014501650350   </v>
      </c>
      <c r="E4" s="32"/>
    </row>
    <row r="5" spans="1:5" s="24" customFormat="1" ht="32.25" customHeight="1" x14ac:dyDescent="0.25">
      <c r="A5" s="32"/>
      <c r="B5" s="595"/>
      <c r="C5" s="294" t="s">
        <v>750</v>
      </c>
      <c r="D5" s="295" t="str">
        <f>STRINGA!CR2</f>
        <v>000000000000000000000000000000000000000000000000000000000000000000000000000000000010500000</v>
      </c>
      <c r="E5" s="32"/>
    </row>
    <row r="6" spans="1:5" s="24" customFormat="1" ht="32.25" customHeight="1" x14ac:dyDescent="0.25">
      <c r="A6" s="32"/>
      <c r="B6" s="595"/>
      <c r="C6" s="26" t="s">
        <v>751</v>
      </c>
      <c r="D6" s="29" t="str">
        <f>STRINGA!CS2</f>
        <v xml:space="preserve">PER MASSE, MASSE RIMORCHIABILI, PNEUMATICI, GANCI DI TRAINO, CARICHI VERTICALI, CARATTERISTICHE TECNICHE, ATTREZZATURE PORTATE E SEMIPORTATE, ALLESTIMENTI VARI, PRESCRIZIONI,  SI VEDA L'ALLEGATO TECNICO PARTE IN TEGRANTE DELLA CARTA DI CIRCOLAZIONE.                                                                                                                                                                               </v>
      </c>
      <c r="E6" s="32"/>
    </row>
    <row r="7" spans="1:5" s="24" customFormat="1" ht="32.25" customHeight="1" thickBot="1" x14ac:dyDescent="0.3">
      <c r="A7" s="32"/>
      <c r="B7" s="596"/>
      <c r="C7" s="27" t="s">
        <v>752</v>
      </c>
      <c r="D7" s="30" t="str">
        <f>STRINGA!CT2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7" s="32"/>
    </row>
    <row r="8" spans="1:5" ht="32.25" customHeight="1" x14ac:dyDescent="0.25">
      <c r="A8" s="31"/>
      <c r="B8" s="597" t="str">
        <f>INSERIMENTO!B7</f>
        <v>Veicolo 2</v>
      </c>
      <c r="C8" s="36" t="s">
        <v>749</v>
      </c>
      <c r="D8" s="39" t="str">
        <f>STRINGA!CQ3</f>
        <v xml:space="preserve">                                                                                                                                                                00000000000                    000000000000000000000000000 0000000000000000000000000000000000000000000                                                                    000000000                                                                      00000000000000000000   </v>
      </c>
      <c r="E8" s="32"/>
    </row>
    <row r="9" spans="1:5" ht="32.25" customHeight="1" x14ac:dyDescent="0.25">
      <c r="A9" s="31"/>
      <c r="B9" s="598"/>
      <c r="C9" s="296" t="s">
        <v>750</v>
      </c>
      <c r="D9" s="297" t="str">
        <f>STRINGA!CR3</f>
        <v>000000000000000000000000000000000000000000000000000000000000000000000000000000000000000000</v>
      </c>
      <c r="E9" s="32"/>
    </row>
    <row r="10" spans="1:5" ht="32.25" customHeight="1" x14ac:dyDescent="0.25">
      <c r="A10" s="31"/>
      <c r="B10" s="598"/>
      <c r="C10" s="37" t="s">
        <v>751</v>
      </c>
      <c r="D10" s="40" t="str">
        <f>STRINGA!CS3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0" s="32"/>
    </row>
    <row r="11" spans="1:5" ht="32.25" customHeight="1" thickBot="1" x14ac:dyDescent="0.3">
      <c r="A11" s="31"/>
      <c r="B11" s="599"/>
      <c r="C11" s="38" t="s">
        <v>752</v>
      </c>
      <c r="D11" s="41" t="str">
        <f>STRINGA!CT3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1" s="32"/>
    </row>
    <row r="12" spans="1:5" ht="32.25" customHeight="1" x14ac:dyDescent="0.25">
      <c r="A12" s="31"/>
      <c r="B12" s="600" t="str">
        <f>INSERIMENTO!B10</f>
        <v>Veicolo 3</v>
      </c>
      <c r="C12" s="33" t="s">
        <v>749</v>
      </c>
      <c r="D12" s="42" t="str">
        <f>STRINGA!CQ4</f>
        <v xml:space="preserve">                                                                                                                                                                00000000000                    000000000000000000000000000 0000000000000000000000000000000000000000000                                                                    000000000                                                                      00000000000000000000   </v>
      </c>
      <c r="E12" s="32"/>
    </row>
    <row r="13" spans="1:5" ht="32.25" customHeight="1" x14ac:dyDescent="0.25">
      <c r="A13" s="31"/>
      <c r="B13" s="601"/>
      <c r="C13" s="298" t="s">
        <v>750</v>
      </c>
      <c r="D13" s="299" t="str">
        <f>STRINGA!CR4</f>
        <v>000000000000000000000000000000000000000000000000000000000000000000000000000000000000000000</v>
      </c>
      <c r="E13" s="32"/>
    </row>
    <row r="14" spans="1:5" ht="32.25" customHeight="1" x14ac:dyDescent="0.25">
      <c r="A14" s="31"/>
      <c r="B14" s="601"/>
      <c r="C14" s="34" t="s">
        <v>751</v>
      </c>
      <c r="D14" s="43" t="str">
        <f>STRINGA!CS4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4" s="32"/>
    </row>
    <row r="15" spans="1:5" ht="32.25" customHeight="1" thickBot="1" x14ac:dyDescent="0.3">
      <c r="A15" s="31"/>
      <c r="B15" s="602"/>
      <c r="C15" s="35" t="s">
        <v>752</v>
      </c>
      <c r="D15" s="44" t="str">
        <f>STRINGA!CT4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5" s="32"/>
    </row>
    <row r="16" spans="1:5" ht="32.25" customHeight="1" x14ac:dyDescent="0.25">
      <c r="A16" s="31"/>
      <c r="B16" s="603" t="str">
        <f>INSERIMENTO!B13</f>
        <v>Veicolo 4</v>
      </c>
      <c r="C16" s="331" t="s">
        <v>749</v>
      </c>
      <c r="D16" s="45" t="str">
        <f>STRINGA!CQ5</f>
        <v xml:space="preserve">                                                                                                                                                                00000000000                    000000000000000000000000000 0000000000000000000000000000000000000000000                                                                    000000000                                                                      00000000000000000000   </v>
      </c>
      <c r="E16" s="32"/>
    </row>
    <row r="17" spans="1:5" ht="32.25" customHeight="1" x14ac:dyDescent="0.25">
      <c r="A17" s="31"/>
      <c r="B17" s="604"/>
      <c r="C17" s="332" t="s">
        <v>750</v>
      </c>
      <c r="D17" s="300" t="str">
        <f>STRINGA!CR5</f>
        <v>000000000000000000000000000000000000000000000000000000000000000000000000000000000000000000</v>
      </c>
      <c r="E17" s="32"/>
    </row>
    <row r="18" spans="1:5" ht="32.25" customHeight="1" x14ac:dyDescent="0.25">
      <c r="A18" s="31"/>
      <c r="B18" s="604"/>
      <c r="C18" s="333" t="s">
        <v>751</v>
      </c>
      <c r="D18" s="46" t="str">
        <f>STRINGA!CS5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8" s="32"/>
    </row>
    <row r="19" spans="1:5" ht="32.25" customHeight="1" thickBot="1" x14ac:dyDescent="0.3">
      <c r="A19" s="31"/>
      <c r="B19" s="605"/>
      <c r="C19" s="334" t="s">
        <v>752</v>
      </c>
      <c r="D19" s="47" t="str">
        <f>STRINGA!CT5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9" s="32"/>
    </row>
    <row r="20" spans="1:5" ht="120" customHeight="1" x14ac:dyDescent="0.25">
      <c r="A20" s="31"/>
      <c r="B20" s="31"/>
      <c r="C20" s="31"/>
      <c r="D20" s="31"/>
      <c r="E20" s="31"/>
    </row>
  </sheetData>
  <sheetProtection password="F972" sheet="1" objects="1" scenarios="1"/>
  <mergeCells count="5">
    <mergeCell ref="B4:B7"/>
    <mergeCell ref="B8:B11"/>
    <mergeCell ref="B12:B15"/>
    <mergeCell ref="B16:B19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-0.249977111117893"/>
  </sheetPr>
  <dimension ref="A1:CV14"/>
  <sheetViews>
    <sheetView zoomScaleNormal="100" workbookViewId="0">
      <pane xSplit="1" ySplit="1" topLeftCell="Y2" activePane="bottomRight" state="frozen"/>
      <selection activeCell="D7" sqref="D7"/>
      <selection pane="topRight" activeCell="D7" sqref="D7"/>
      <selection pane="bottomLeft" activeCell="D7" sqref="D7"/>
      <selection pane="bottomRight" activeCell="AG15" sqref="AG15"/>
    </sheetView>
  </sheetViews>
  <sheetFormatPr defaultRowHeight="15" x14ac:dyDescent="0.25"/>
  <cols>
    <col min="1" max="1" width="23.42578125" customWidth="1"/>
    <col min="2" max="2" width="17.85546875" customWidth="1"/>
    <col min="3" max="3" width="19.85546875" customWidth="1"/>
    <col min="4" max="4" width="11.7109375" customWidth="1"/>
    <col min="5" max="5" width="48.140625" customWidth="1"/>
    <col min="6" max="6" width="34.140625" customWidth="1"/>
    <col min="7" max="7" width="32.7109375" customWidth="1"/>
    <col min="8" max="8" width="18.140625" customWidth="1"/>
    <col min="9" max="9" width="21.7109375" customWidth="1"/>
    <col min="10" max="13" width="20.42578125" customWidth="1"/>
    <col min="14" max="14" width="31.42578125" customWidth="1"/>
    <col min="15" max="15" width="15.85546875" customWidth="1"/>
    <col min="16" max="16" width="20" customWidth="1"/>
    <col min="17" max="17" width="19.5703125" customWidth="1"/>
    <col min="18" max="18" width="16.42578125" customWidth="1"/>
    <col min="20" max="20" width="19.5703125" customWidth="1"/>
    <col min="21" max="21" width="10.7109375" customWidth="1"/>
    <col min="22" max="22" width="18.5703125" customWidth="1"/>
    <col min="23" max="23" width="17.140625" customWidth="1"/>
    <col min="24" max="24" width="14.28515625" customWidth="1"/>
    <col min="25" max="25" width="17.42578125" customWidth="1"/>
    <col min="26" max="26" width="14" customWidth="1"/>
    <col min="27" max="27" width="16.5703125" customWidth="1"/>
    <col min="28" max="28" width="14.42578125" customWidth="1"/>
    <col min="29" max="29" width="10.85546875" customWidth="1"/>
    <col min="30" max="30" width="16.140625" customWidth="1"/>
    <col min="31" max="31" width="12.7109375" customWidth="1"/>
    <col min="33" max="33" width="15.5703125" customWidth="1"/>
    <col min="34" max="34" width="14.28515625" customWidth="1"/>
    <col min="35" max="35" width="13.140625" customWidth="1"/>
    <col min="36" max="36" width="17.42578125" customWidth="1"/>
    <col min="39" max="39" width="12" customWidth="1"/>
    <col min="46" max="46" width="14.85546875" customWidth="1"/>
    <col min="47" max="48" width="18.42578125" customWidth="1"/>
    <col min="49" max="49" width="11.5703125" customWidth="1"/>
    <col min="50" max="50" width="11.42578125" customWidth="1"/>
    <col min="51" max="51" width="12.5703125" customWidth="1"/>
    <col min="52" max="52" width="13" customWidth="1"/>
    <col min="53" max="53" width="13.5703125" customWidth="1"/>
    <col min="54" max="54" width="11.140625" customWidth="1"/>
    <col min="55" max="55" width="12.85546875" bestFit="1" customWidth="1"/>
    <col min="56" max="56" width="24.7109375" customWidth="1"/>
    <col min="57" max="57" width="19.140625" customWidth="1"/>
    <col min="58" max="58" width="18" customWidth="1"/>
    <col min="59" max="59" width="15.42578125" customWidth="1"/>
    <col min="60" max="60" width="19" customWidth="1"/>
    <col min="61" max="61" width="12.85546875" customWidth="1"/>
    <col min="62" max="62" width="17" customWidth="1"/>
    <col min="63" max="63" width="14.140625" customWidth="1"/>
    <col min="64" max="64" width="15.85546875" customWidth="1"/>
    <col min="65" max="65" width="15.28515625" customWidth="1"/>
    <col min="66" max="66" width="11.7109375" customWidth="1"/>
    <col min="67" max="67" width="14.5703125" customWidth="1"/>
    <col min="68" max="68" width="10.7109375" customWidth="1"/>
    <col min="69" max="69" width="11.85546875" customWidth="1"/>
    <col min="70" max="70" width="15.7109375" customWidth="1"/>
    <col min="71" max="71" width="15.5703125" customWidth="1"/>
    <col min="72" max="72" width="18.7109375" customWidth="1"/>
    <col min="73" max="73" width="17.5703125" customWidth="1"/>
    <col min="74" max="74" width="17.85546875" customWidth="1"/>
    <col min="75" max="75" width="17.5703125" customWidth="1"/>
    <col min="76" max="76" width="14.140625" customWidth="1"/>
    <col min="77" max="77" width="16.85546875" customWidth="1"/>
    <col min="78" max="78" width="20.140625" customWidth="1"/>
    <col min="79" max="79" width="13.28515625" customWidth="1"/>
    <col min="81" max="92" width="19.140625" customWidth="1"/>
    <col min="93" max="93" width="12.28515625" customWidth="1"/>
    <col min="94" max="94" width="14" customWidth="1"/>
    <col min="95" max="95" width="87.140625" customWidth="1"/>
    <col min="96" max="97" width="56.5703125" customWidth="1"/>
    <col min="98" max="98" width="53.5703125" customWidth="1"/>
    <col min="99" max="100" width="57.85546875" customWidth="1"/>
  </cols>
  <sheetData>
    <row r="1" spans="1:100" s="99" customFormat="1" ht="78.75" customHeight="1" x14ac:dyDescent="0.25">
      <c r="A1" s="98" t="s">
        <v>753</v>
      </c>
      <c r="B1" s="98" t="str">
        <f>INSERIMENTO!C3</f>
        <v>TIPO OPERAZIONE
[elenco]</v>
      </c>
      <c r="C1" s="98" t="str">
        <f>INSERIMENTO!D3</f>
        <v>CODICE OMOLOGAZIONE</v>
      </c>
      <c r="D1" s="98" t="str">
        <f>INSERIMENTO!E3</f>
        <v xml:space="preserve">DATA OMOLOG.
(mmaaaa) </v>
      </c>
      <c r="E1" s="98" t="str">
        <f>INSERIMENTO!F3</f>
        <v>NUMERO OMOLOGAZIONE EUROPEA</v>
      </c>
      <c r="F1" s="98" t="str">
        <f>INSERIMENTO!G3</f>
        <v>DATA OMOLOG. EUROPEA
(ggmmaaaa)</v>
      </c>
      <c r="G1" s="98" t="str">
        <f>INSERIMENTO!H3</f>
        <v>DATA SCADENZA OMOLOGAZIONE
(mmaaaa)</v>
      </c>
      <c r="H1" s="98" t="str">
        <f>INSERIMENTO!I3</f>
        <v>CATEGORIA
[elenco]</v>
      </c>
      <c r="I1" s="98" t="str">
        <f>INSERIMENTO!J3</f>
        <v>PRESCRIZIONI TECNICHE DI CIRCOLAZIONE 1
[elenco]</v>
      </c>
      <c r="J1" s="98" t="str">
        <f>INSERIMENTO!K3</f>
        <v xml:space="preserve">PRESCRIZIONI TECNICHE DI CIRCOLAZIONE 2
[elenco] </v>
      </c>
      <c r="K1" s="98" t="str">
        <f>INSERIMENTO!L3</f>
        <v>PRESCRIZIONI TECNICHE DI CIRCOLAZIONE 3
[elenco]</v>
      </c>
      <c r="L1" s="98" t="str">
        <f>INSERIMENTO!M3</f>
        <v>PRESCRIZIONI TECNICHE DI CIRCOLAZIONE 4
[elenco]</v>
      </c>
      <c r="M1" s="98" t="str">
        <f>INSERIMENTO!N3</f>
        <v>PRESCRIZIONI TECNICHE DI CIRCOLAZIONE 5
[elenco]</v>
      </c>
      <c r="N1" s="98" t="str">
        <f>INSERIMENTO!O3</f>
        <v>FABBRICA E TIPO</v>
      </c>
      <c r="O1" s="98" t="str">
        <f>INSERIMENTO!P3</f>
        <v>NAZIONALITA' FABBRICA
[elenco]</v>
      </c>
      <c r="P1" s="98" t="str">
        <f>INSERIMENTO!Q3</f>
        <v>MOTORE</v>
      </c>
      <c r="Q1" s="98" t="str">
        <f>INSERIMENTO!R3</f>
        <v>COMBUSTIBILE
[elenco]</v>
      </c>
      <c r="R1" s="98" t="str">
        <f>INSERIMENTO!S3</f>
        <v>TEMPI
[elenco]</v>
      </c>
      <c r="S1" s="98" t="str">
        <f>INSERIMENTO!T3</f>
        <v>NUM. CILINDRI</v>
      </c>
      <c r="T1" s="304" t="str">
        <f>INSERIMENTO!U3</f>
        <v>CILINDRATA
[cc]</v>
      </c>
      <c r="U1" s="304" t="str">
        <f>INSERIMENTO!V3</f>
        <v>POTENZA
[kW]
(123,4)</v>
      </c>
      <c r="V1" s="98" t="str">
        <f>INSERIMENTO!W3</f>
        <v>APPROVAZIONE SILENZIATORE</v>
      </c>
      <c r="W1" s="98" t="str">
        <f>INSERIMENTO!X3</f>
        <v>DECIBEL
[dB]</v>
      </c>
      <c r="X1" s="98" t="str">
        <f>INSERIMENTO!Y3</f>
        <v>GIRI CONTROLLO
[rpm]</v>
      </c>
      <c r="Y1" s="98" t="str">
        <f>INSERIMENTO!Z3</f>
        <v>LUNGHEZZA
[mm]</v>
      </c>
      <c r="Z1" s="98" t="str">
        <f>INSERIMENTO!AA3</f>
        <v>LARGHEZZA
[mm]</v>
      </c>
      <c r="AA1" s="98" t="str">
        <f>INSERIMENTO!AB3</f>
        <v>SBALZO ANTERIORE
[mm]</v>
      </c>
      <c r="AB1" s="98" t="str">
        <f>INSERIMENTO!AC3</f>
        <v>SBALZO POSTERIORE
[mm]</v>
      </c>
      <c r="AC1" s="98" t="str">
        <f>INSERIMENTO!AD3</f>
        <v>ALTEZZA
[m]
(1,23)</v>
      </c>
      <c r="AD1" s="98" t="str">
        <f>INSERIMENTO!AE3</f>
        <v>SAGOMA FERROVIARIA
[elenco]</v>
      </c>
      <c r="AE1" s="98" t="str">
        <f>INSERIMENTO!AF3</f>
        <v>INTERASSE 1
[mm]</v>
      </c>
      <c r="AF1" s="98" t="str">
        <f>INSERIMENTO!AG3</f>
        <v>INTERASSE 2
[mm]</v>
      </c>
      <c r="AG1" s="98" t="str">
        <f>INSERIMENTO!AH3</f>
        <v>INTERASSE 3
[mm]</v>
      </c>
      <c r="AH1" s="98" t="str">
        <f>INSERIMENTO!AI3</f>
        <v>NUMERO ASSI</v>
      </c>
      <c r="AI1" s="98" t="str">
        <f>INSERIMENTO!AJ3</f>
        <v>TARA
[kg]</v>
      </c>
      <c r="AJ1" s="98" t="str">
        <f>INSERIMENTO!AK3</f>
        <v>MASSA COMPL.
[kg]</v>
      </c>
      <c r="AK1" s="98" t="str">
        <f>INSERIMENTO!AL3</f>
        <v>MASSA RIM.LE
[kg]</v>
      </c>
      <c r="AL1" s="98" t="str">
        <f>INSERIMENTO!AM3</f>
        <v>MASSA MASSIMA ASSE X
[kg]</v>
      </c>
      <c r="AM1" s="98" t="str">
        <f>INSERIMENTO!AN3</f>
        <v xml:space="preserve"> NUMERO ASSE X</v>
      </c>
      <c r="AN1" s="98" t="str">
        <f>INSERIMENTO!AO3</f>
        <v>MASSA MASSIMA ASSE Y
[kg]</v>
      </c>
      <c r="AO1" s="98" t="str">
        <f>INSERIMENTO!AP3</f>
        <v xml:space="preserve"> NUMERO ASSE Y</v>
      </c>
      <c r="AP1" s="98" t="str">
        <f>INSERIMENTO!AQ3</f>
        <v>PNEU 1: CINGOLI
[elenco]</v>
      </c>
      <c r="AQ1" s="98" t="str">
        <f>INSERIMENTO!AR3</f>
        <v>PNEU 2: TIPO</v>
      </c>
      <c r="AR1" s="98" t="str">
        <f>INSERIMENTO!AS3</f>
        <v>FRENO DI SERVIZIO
[elenco]</v>
      </c>
      <c r="AS1" s="98" t="str">
        <f>INSERIMENTO!AT3</f>
        <v>FRENO DI SOCCORSO
[elenco]</v>
      </c>
      <c r="AT1" s="98" t="str">
        <f>INSERIMENTO!AU3</f>
        <v>AUTONOMIA DI LAVORO
[h]</v>
      </c>
      <c r="AU1" s="98" t="str">
        <f>INSERIMENTO!AV3</f>
        <v>VELOCITA' MASSIMA TEORICA
[km/h]
(12,3)</v>
      </c>
      <c r="AV1" s="98" t="str">
        <f>INSERIMENTO!AW3</f>
        <v>VELOCITA'   MASSIMA EFFETTIVA
[km/h]
(12,3)</v>
      </c>
      <c r="AW1" s="98" t="str">
        <f>INSERIMENTO!AX3</f>
        <v>TIPOLOGIA VEICOLO TRAINANTE
[elenco]</v>
      </c>
      <c r="AX1" s="98" t="str">
        <f>INSERIMENTO!AY3</f>
        <v>RIGA DESCR. 1</v>
      </c>
      <c r="AY1" s="98" t="str">
        <f>INSERIMENTO!AZ3</f>
        <v>CODICE IMPIEGO N.1
[elenco]</v>
      </c>
      <c r="AZ1" s="98" t="str">
        <f>INSERIMENTO!BA3</f>
        <v>CODICE IMPIEGO N.2
[elenco]</v>
      </c>
      <c r="BA1" s="98" t="str">
        <f>INSERIMENTO!BB3</f>
        <v>CODICE IMPIEGO N.3
[elenco]</v>
      </c>
      <c r="BB1" s="98" t="str">
        <f>INSERIMENTO!BC3</f>
        <v>CODICE IMPIEGO N.4
[elenco]</v>
      </c>
      <c r="BC1" s="98" t="str">
        <f>INSERIMENTO!BD3</f>
        <v>CODICE IMPIEGO N.5
[elenco]</v>
      </c>
      <c r="BD1" s="98" t="str">
        <f>INSERIMENTO!BE3</f>
        <v>CODICE ATTREZZATURA
N.1
[elenco]</v>
      </c>
      <c r="BE1" s="98" t="str">
        <f>INSERIMENTO!BF3</f>
        <v>CODICE ATTREZZATURA
N.2
[elenco]</v>
      </c>
      <c r="BF1" s="98" t="str">
        <f>INSERIMENTO!BG3</f>
        <v>CODICE ATTREZZATURA
N.3
[elenco]</v>
      </c>
      <c r="BG1" s="98" t="str">
        <f>INSERIMENTO!BH3</f>
        <v>CODICE ATTREZZATURA
N.4
[elenco]</v>
      </c>
      <c r="BH1" s="98" t="str">
        <f>INSERIMENTO!BI3</f>
        <v>CODICE ATTREZZATURA
N.5
[elenco]</v>
      </c>
      <c r="BI1" s="98" t="str">
        <f>INSERIMENTO!BJ3</f>
        <v>LUNGHEZZA MASSIMA CON ATTREZZI
[mm]</v>
      </c>
      <c r="BJ1" s="98" t="str">
        <f>INSERIMENTO!BK3</f>
        <v>SBALZO ANTERIORE MASSIMO CON ATTREZZI
[mm]</v>
      </c>
      <c r="BK1" s="98" t="str">
        <f>INSERIMENTO!BL3</f>
        <v>SBALZO POSTERIORE MASSIMO CON ATTREZZI
[mm]</v>
      </c>
      <c r="BL1" s="98" t="str">
        <f>INSERIMENTO!BM3</f>
        <v>LARGHEZZA MASSIMA CON ATTREZZI
[mm]</v>
      </c>
      <c r="BM1" s="98" t="str">
        <f>INSERIMENTO!BN3</f>
        <v>ALTEZZA MASSIMA CON ATTREZZI
[m] (1,23)</v>
      </c>
      <c r="BN1" s="336" t="str">
        <f>INSERIMENTO!BO3</f>
        <v>DIRETTIVA CEE
[elenco]</v>
      </c>
      <c r="BO1" s="401" t="str">
        <f>INSERIMENTO!BP3</f>
        <v>SCAVO:
LARG MIN
[m]
(12,3)</v>
      </c>
      <c r="BP1" s="98" t="str">
        <f>INSERIMENTO!BQ3</f>
        <v>SCAVO:
LARG MAX
[m]
(12,3)</v>
      </c>
      <c r="BQ1" s="98" t="str">
        <f>INSERIMENTO!BR3</f>
        <v>SCAVO:
PROF MAX
[m]
(12,3)</v>
      </c>
      <c r="BR1" s="98" t="str">
        <f>INSERIMENTO!BS3</f>
        <v>CARICAMENTO:
CAPACITA'
[m3]
(12,3)</v>
      </c>
      <c r="BS1" s="98" t="str">
        <f>INSERIMENTO!BT3</f>
        <v>CARICAMENTO:
ALT MAX
[m]
(12,3)</v>
      </c>
      <c r="BT1" s="98" t="str">
        <f>INSERIMENTO!BU3</f>
        <v>PERFORAZIONE:
PROFODITA'
[m]
(12,3)</v>
      </c>
      <c r="BU1" s="98" t="str">
        <f>INSERIMENTO!BV3</f>
        <v>PERFORAZIONE:
VEL MIN
[m/h]
(12,34)</v>
      </c>
      <c r="BV1" s="98" t="str">
        <f>INSERIMENTO!BW3</f>
        <v>PERFORAZIONE:
VEL MAX
[m/h]
(12,34)</v>
      </c>
      <c r="BW1" s="98" t="str">
        <f>INSERIMENTO!BX3</f>
        <v>PERFORAZIONE:
DIAM MIN
[m]
(12,3)</v>
      </c>
      <c r="BX1" s="98" t="str">
        <f>INSERIMENTO!BY3</f>
        <v>PERFORAZIONE:
DIAM MAX
[m]
(12,3)</v>
      </c>
      <c r="BY1" s="98" t="str">
        <f>INSERIMENTO!BZ3</f>
        <v>LIVELLAMENTO:
LARG MAX
[m]
(12,3)</v>
      </c>
      <c r="BZ1" s="98" t="str">
        <f>INSERIMENTO!CA3</f>
        <v>LIVELLAMENTO:
VELOCITA'
[km/h]</v>
      </c>
      <c r="CA1" s="98" t="str">
        <f>INSERIMENTO!CB3</f>
        <v>TRASPORTO:
VOLUME CARICO
[m3]
(12,3)</v>
      </c>
      <c r="CB1" s="98" t="str">
        <f>INSERIMENTO!CC3</f>
        <v>TRASPORTO:
PORTATA
[kg]</v>
      </c>
      <c r="CC1" s="98" t="str">
        <f>INSERIMENTO!CD3</f>
        <v>COMPATTAMENTO:
LARG MAX
[m]
(12,3)</v>
      </c>
      <c r="CD1" s="98" t="str">
        <f>INSERIMENTO!CE3</f>
        <v>COMPATTAMENTO:
VELOC
[km/h]</v>
      </c>
      <c r="CE1" s="98" t="str">
        <f>INSERIMENTO!CF3</f>
        <v>SOLLEVAMENTO:
MASSA MAX
CON ZAVORRA
[kg]</v>
      </c>
      <c r="CF1" s="98" t="str">
        <f>INSERIMENTO!CG3</f>
        <v>SOLLEVAMENTO:
MASSA MAX
SENZA ZAVORRA
[kg]</v>
      </c>
      <c r="CG1" s="98" t="str">
        <f>INSERIMENTO!CH3</f>
        <v>SOLLEVAMENTO:
MASSA MAX STANDARD
[kg]</v>
      </c>
      <c r="CH1" s="98" t="str">
        <f>INSERIMENTO!CI3</f>
        <v>SOLLEVAMENTO:
ALTEZZA MAX
[m]
(12,3)</v>
      </c>
      <c r="CI1" s="98" t="str">
        <f>INSERIMENTO!CJ3</f>
        <v>SOLLEVAMENTO:
SBRACCIO MAX
[m]
(12,3)</v>
      </c>
      <c r="CJ1" s="98" t="str">
        <f>INSERIMENTO!CK3</f>
        <v>SOLLEVAMENTO:
Rapporto
MASS COMPL / SBR MAX
[kg/m]</v>
      </c>
      <c r="CK1" s="98" t="str">
        <f>INSERIMENTO!CL3</f>
        <v>MANUTENZIONE:
LARG MAX
[m]
(12,3)</v>
      </c>
      <c r="CL1" s="98" t="str">
        <f>INSERIMENTO!CM3</f>
        <v>MANUTENZIONE:
VELOCITA'
[km/h]</v>
      </c>
      <c r="CM1" s="98" t="str">
        <f>INSERIMENTO!CN3</f>
        <v>FINITURA:
LARG MAX
[m]
(12,3)</v>
      </c>
      <c r="CN1" s="98" t="str">
        <f>INSERIMENTO!CO3</f>
        <v>FINITURA:
VELOCITA'
[km/h]</v>
      </c>
      <c r="CO1" s="98" t="str">
        <f>INSERIMENTO!CP3</f>
        <v>RIGHE DESCRITTIVE A</v>
      </c>
      <c r="CP1" s="98" t="str">
        <f>INSERIMENTO!CQ3</f>
        <v>RIGHE DESCRITTIVE B</v>
      </c>
      <c r="CQ1" s="184" t="s">
        <v>754</v>
      </c>
      <c r="CR1" s="184" t="s">
        <v>755</v>
      </c>
      <c r="CS1" s="184" t="s">
        <v>756</v>
      </c>
      <c r="CT1" s="184" t="s">
        <v>757</v>
      </c>
      <c r="CU1" s="183" t="s">
        <v>758</v>
      </c>
      <c r="CV1" s="183" t="s">
        <v>759</v>
      </c>
    </row>
    <row r="2" spans="1:100" ht="61.5" customHeight="1" x14ac:dyDescent="0.25">
      <c r="A2" s="90" t="str">
        <f>INSERIMENTO!B4</f>
        <v>BCS</v>
      </c>
      <c r="B2" s="275" t="str">
        <f>LEFT(CONCATENATE(INSERIMENTO!C4,M_SPAZI),B$12)</f>
        <v>II</v>
      </c>
      <c r="C2" s="276" t="str">
        <f>LEFT(CONCATENATE(INSERIMENTO!D4,M_SPAZI),C$12)</f>
        <v>EU96125MOCPBS/23</v>
      </c>
      <c r="D2" s="529" t="str">
        <f>RIGHT(CONCATENATE(M_SPAZI,INSERIMENTO!E4),D$12)</f>
        <v>012023</v>
      </c>
      <c r="E2" s="276" t="str">
        <f>LEFT(CONCATENATE(INSERIMENTO!F4,M_SPAZI),E$12)</f>
        <v xml:space="preserve">E3*2010/22/0084*07                 </v>
      </c>
      <c r="F2" s="529" t="str">
        <f>RIGHT(CONCATENATE(M_SPAZI,INSERIMENTO!G4),F$12)</f>
        <v xml:space="preserve">        </v>
      </c>
      <c r="G2" s="529" t="str">
        <f>RIGHT(CONCATENATE(M_SPAZI,INSERIMENTO!H4),G$12)</f>
        <v xml:space="preserve">      </v>
      </c>
      <c r="H2" s="276" t="str">
        <f>LEFT(CONCATENATE(INSERIMENTO!I4,M_SPAZI),H$12)</f>
        <v>1S</v>
      </c>
      <c r="I2" s="276" t="str">
        <f>LEFT(CONCATENATE(INSERIMENTO!J4,M_SPAZI),I$12)</f>
        <v>A</v>
      </c>
      <c r="J2" s="276" t="str">
        <f>LEFT(CONCATENATE(INSERIMENTO!K4,M_SPAZI),J$12)</f>
        <v>B</v>
      </c>
      <c r="K2" s="276" t="str">
        <f>LEFT(CONCATENATE(INSERIMENTO!L4,M_SPAZI),K$12)</f>
        <v>S</v>
      </c>
      <c r="L2" s="276" t="str">
        <f>LEFT(CONCATENATE(INSERIMENTO!M4,M_SPAZI),L$12)</f>
        <v xml:space="preserve"> </v>
      </c>
      <c r="M2" s="276" t="str">
        <f>LEFT(CONCATENATE(INSERIMENTO!N4,M_SPAZI),M$12)</f>
        <v xml:space="preserve"> </v>
      </c>
      <c r="N2" s="276" t="str">
        <f>LEFT(CONCATENATE(INSERIMENTO!O4,M_SPAZI),N$12)</f>
        <v xml:space="preserve">BCS ARH2/3 AKV 05B VOLCAN K 105 AR      </v>
      </c>
      <c r="O2" s="276" t="str">
        <f>LEFT(CONCATENATE(INSERIMENTO!P4,M_SPAZI),O$12)</f>
        <v>I</v>
      </c>
      <c r="P2" s="276" t="str">
        <f>LEFT(CONCATENATE(INSERIMENTO!Q4,M_SPAZI),P$12)</f>
        <v xml:space="preserve">kubota v3800-cr-t-eu3              </v>
      </c>
      <c r="Q2" s="276" t="str">
        <f>LEFT(CONCATENATE(INSERIMENTO!R4,M_SPAZI),Q$12)</f>
        <v xml:space="preserve">G  </v>
      </c>
      <c r="R2" s="276" t="str">
        <f>LEFT(CONCATENATE(INSERIMENTO!S4,M_SPAZI),R$12)</f>
        <v>4</v>
      </c>
      <c r="S2" s="239" t="str">
        <f>RIGHT(CONCATENATE(M_ZERI,SUBSTITUTE(INSERIMENTO!T4," ","0")),S$12)</f>
        <v>00</v>
      </c>
      <c r="T2" s="238" t="str">
        <f>RIGHT(CONCATENATE(M_ZERI,SUBSTITUTE(INSERIMENTO!U4," ","0")),T$12)</f>
        <v>03769</v>
      </c>
      <c r="U2" s="238" t="str">
        <f>RIGHT(CONCATENATE(M_ZERI,SUBSTITUTE(INSERIMENTO!V4," ","0")),U$12)</f>
        <v>7210</v>
      </c>
      <c r="V2" s="276" t="str">
        <f>LEFT(CONCATENATE(INSERIMENTO!W4,M_SPAZI),V$12)</f>
        <v xml:space="preserve">                    </v>
      </c>
      <c r="W2" s="238" t="str">
        <f>RIGHT(CONCATENATE(M_ZERI,SUBSTITUTE(INSERIMENTO!X4," ","0")),W$12)</f>
        <v>000</v>
      </c>
      <c r="X2" s="238" t="str">
        <f>RIGHT(CONCATENATE(M_ZERI,SUBSTITUTE(INSERIMENTO!Y4," ","0")),X$12)</f>
        <v>0000</v>
      </c>
      <c r="Y2" s="238" t="str">
        <f>RIGHT(CONCATENATE(M_ZERI,SUBSTITUTE(INSERIMENTO!Z4," ","0")),Y$12)</f>
        <v>04295</v>
      </c>
      <c r="Z2" s="238" t="str">
        <f>RIGHT(CONCATENATE(M_ZERI,SUBSTITUTE(INSERIMENTO!AA4," ","0")),Z$12)</f>
        <v>1650</v>
      </c>
      <c r="AA2" s="238" t="str">
        <f>RIGHT(CONCATENATE(M_ZERI,SUBSTITUTE(INSERIMENTO!AB4," ","0")),AA$12)</f>
        <v>1350</v>
      </c>
      <c r="AB2" s="238" t="str">
        <f>RIGHT(CONCATENATE(M_ZERI,SUBSTITUTE(INSERIMENTO!AC4," ","0")),AB$12)</f>
        <v>1450</v>
      </c>
      <c r="AC2" s="238" t="str">
        <f>RIGHT(CONCATENATE(M_ZERI,SUBSTITUTE(INSERIMENTO!AD4," ","0")),AC$12)</f>
        <v>350</v>
      </c>
      <c r="AD2" s="276" t="str">
        <f>LEFT(CONCATENATE(INSERIMENTO!AE4,M_SPAZI),AD$12)</f>
        <v xml:space="preserve"> </v>
      </c>
      <c r="AE2" s="238" t="str">
        <f>RIGHT(CONCATENATE(M_ZERI,SUBSTITUTE(INSERIMENTO!AF4," ","0")),AE$12)</f>
        <v>1495</v>
      </c>
      <c r="AF2" s="238" t="str">
        <f>RIGHT(CONCATENATE(M_ZERI,SUBSTITUTE(INSERIMENTO!AG4," ","0")),AF$12)</f>
        <v>0000</v>
      </c>
      <c r="AG2" s="238" t="str">
        <f>RIGHT(CONCATENATE(M_ZERI,SUBSTITUTE(INSERIMENTO!AH4," ","0")),AG$12)</f>
        <v>0000</v>
      </c>
      <c r="AH2" s="238" t="str">
        <f>RIGHT(CONCATENATE(M_ZERI,SUBSTITUTE(INSERIMENTO!AI4," ","0")),AH$12)</f>
        <v>02</v>
      </c>
      <c r="AI2" s="238" t="str">
        <f>RIGHT(CONCATENATE(M_ZERI,SUBSTITUTE(INSERIMENTO!AJ4," ","0")),AI$12)</f>
        <v>03500</v>
      </c>
      <c r="AJ2" s="238" t="str">
        <f>RIGHT(CONCATENATE(M_ZERI,SUBSTITUTE(INSERIMENTO!AK4," ","0")),AJ$12)</f>
        <v>003500</v>
      </c>
      <c r="AK2" s="238" t="str">
        <f>RIGHT(CONCATENATE(M_ZERI,SUBSTITUTE(INSERIMENTO!AL4," ","0")),AK$12)</f>
        <v>003500</v>
      </c>
      <c r="AL2" s="238" t="str">
        <f>RIGHT(CONCATENATE(M_ZERI,SUBSTITUTE(INSERIMENTO!AM4," ","0")),AL$12)</f>
        <v>00000</v>
      </c>
      <c r="AM2" s="238" t="str">
        <f>RIGHT(CONCATENATE(M_ZERI,SUBSTITUTE(INSERIMENTO!AN4," ","0")),AM$12)</f>
        <v>0</v>
      </c>
      <c r="AN2" s="238" t="str">
        <f>RIGHT(CONCATENATE(M_ZERI,SUBSTITUTE(INSERIMENTO!AO4," ","0")),AN$12)</f>
        <v>00000</v>
      </c>
      <c r="AO2" s="238" t="str">
        <f>RIGHT(CONCATENATE(M_ZERI,SUBSTITUTE(INSERIMENTO!AP4," ","0")),AO$12)</f>
        <v>0</v>
      </c>
      <c r="AP2" s="276" t="str">
        <f>LEFT(CONCATENATE(INSERIMENTO!AQ4,M_SPAZI),AP$12)</f>
        <v xml:space="preserve"> </v>
      </c>
      <c r="AQ2" s="276" t="str">
        <f>LEFT(CONCATENATE(INSERIMENTO!AR4,M_SPAZI),AQ$12)</f>
        <v xml:space="preserve">340/65 R20 124A8 121B S.S.                                       </v>
      </c>
      <c r="AR2" s="276" t="str">
        <f>LEFT(CONCATENATE(INSERIMENTO!AS4,M_SPAZI),AR$12)</f>
        <v xml:space="preserve"> </v>
      </c>
      <c r="AS2" s="276" t="str">
        <f>LEFT(CONCATENATE(INSERIMENTO!AT4,M_SPAZI),AS$12)</f>
        <v xml:space="preserve"> </v>
      </c>
      <c r="AT2" s="238" t="str">
        <f>RIGHT(CONCATENATE(M_ZERI,SUBSTITUTE(INSERIMENTO!AU4," ","0")),AT$12)</f>
        <v>008</v>
      </c>
      <c r="AU2" s="238" t="str">
        <f>RIGHT(CONCATENATE(M_ZERI,SUBSTITUTE(INSERIMENTO!AV4," ","0")),AU$12)</f>
        <v>404</v>
      </c>
      <c r="AV2" s="238" t="str">
        <f>RIGHT(CONCATENATE(M_ZERI,SUBSTITUTE(INSERIMENTO!AW4," ","0")),AV$12)</f>
        <v>384</v>
      </c>
      <c r="AW2" s="276" t="str">
        <f>LEFT(CONCATENATE(INSERIMENTO!AX4,M_SPAZI),AW$12)</f>
        <v>MO</v>
      </c>
      <c r="AX2" s="276" t="str">
        <f>LEFT(CONCATENATE(INSERIMENTO!AY4,M_SPAZI),AX$12)</f>
        <v xml:space="preserve">                                                     </v>
      </c>
      <c r="AY2" s="276" t="str">
        <f>LEFT(CONCATENATE(INSERIMENTO!AZ4,M_SPAZI),AY$12)</f>
        <v>M</v>
      </c>
      <c r="AZ2" s="276" t="str">
        <f>LEFT(CONCATENATE(INSERIMENTO!BA4,M_SPAZI),AZ$12)</f>
        <v xml:space="preserve"> </v>
      </c>
      <c r="BA2" s="276" t="str">
        <f>LEFT(CONCATENATE(INSERIMENTO!BB4,M_SPAZI),BA$12)</f>
        <v xml:space="preserve"> </v>
      </c>
      <c r="BB2" s="276" t="str">
        <f>LEFT(CONCATENATE(INSERIMENTO!BC4,M_SPAZI),BB$12)</f>
        <v xml:space="preserve"> </v>
      </c>
      <c r="BC2" s="276" t="str">
        <f>LEFT(CONCATENATE(INSERIMENTO!BD4,M_SPAZI),BC$12)</f>
        <v xml:space="preserve"> </v>
      </c>
      <c r="BD2" s="276" t="str">
        <f>LEFT(CONCATENATE(INSERIMENTO!BE4,M_SPAZI),BD$12)</f>
        <v>MO</v>
      </c>
      <c r="BE2" s="276" t="str">
        <f>LEFT(CONCATENATE(INSERIMENTO!BF4,M_SPAZI),BE$12)</f>
        <v xml:space="preserve">  </v>
      </c>
      <c r="BF2" s="276" t="str">
        <f>LEFT(CONCATENATE(INSERIMENTO!BG4,M_SPAZI),BF$12)</f>
        <v xml:space="preserve">  </v>
      </c>
      <c r="BG2" s="276" t="str">
        <f>LEFT(CONCATENATE(INSERIMENTO!BH4,M_SPAZI),BG$12)</f>
        <v xml:space="preserve">  </v>
      </c>
      <c r="BH2" s="276" t="str">
        <f>LEFT(CONCATENATE(INSERIMENTO!BI4,M_SPAZI),BH$12)</f>
        <v xml:space="preserve">  </v>
      </c>
      <c r="BI2" s="238" t="str">
        <f>RIGHT(CONCATENATE(M_ZERI,SUBSTITUTE(INSERIMENTO!BJ4," ","0")),BI$12)</f>
        <v>04295</v>
      </c>
      <c r="BJ2" s="238" t="str">
        <f>RIGHT(CONCATENATE(M_ZERI,SUBSTITUTE(INSERIMENTO!BK4," ","0")),BJ$12)</f>
        <v>1350</v>
      </c>
      <c r="BK2" s="238" t="str">
        <f>RIGHT(CONCATENATE(M_ZERI,SUBSTITUTE(INSERIMENTO!BL4," ","0")),BK$12)</f>
        <v>1450</v>
      </c>
      <c r="BL2" s="238" t="str">
        <f>RIGHT(CONCATENATE(M_ZERI,SUBSTITUTE(INSERIMENTO!BM4," ","0")),BL$12)</f>
        <v>1650</v>
      </c>
      <c r="BM2" s="238" t="str">
        <f>RIGHT(CONCATENATE(M_ZERI,SUBSTITUTE(INSERIMENTO!BN4," ","0")),BM$12)</f>
        <v>350</v>
      </c>
      <c r="BN2" s="337" t="str">
        <f>LEFT(CONCATENATE(INSERIMENTO!BO4,M_SPAZI),BN$12)</f>
        <v xml:space="preserve">   </v>
      </c>
      <c r="BO2" s="335" t="str">
        <f>RIGHT(CONCATENATE(M_ZERI,SUBSTITUTE(INSERIMENTO!BP4," ","0")),BO$12)</f>
        <v>000</v>
      </c>
      <c r="BP2" s="238" t="str">
        <f>RIGHT(CONCATENATE(M_ZERI,SUBSTITUTE(INSERIMENTO!BQ4," ","0")),BP$12)</f>
        <v>000</v>
      </c>
      <c r="BQ2" s="238" t="str">
        <f>RIGHT(CONCATENATE(M_ZERI,SUBSTITUTE(INSERIMENTO!BR4," ","0")),BQ$12)</f>
        <v>000</v>
      </c>
      <c r="BR2" s="239" t="str">
        <f>RIGHT(CONCATENATE(M_ZERI,SUBSTITUTE(INSERIMENTO!BS4," ","0")),BR$12)</f>
        <v>000</v>
      </c>
      <c r="BS2" s="239" t="str">
        <f>RIGHT(CONCATENATE(M_ZERI,SUBSTITUTE(INSERIMENTO!BT4," ","0")),BS$12)</f>
        <v>000</v>
      </c>
      <c r="BT2" s="239" t="str">
        <f>RIGHT(CONCATENATE(M_ZERI,SUBSTITUTE(INSERIMENTO!BU4," ","0")),BT$12)</f>
        <v>000</v>
      </c>
      <c r="BU2" s="239" t="str">
        <f>RIGHT(CONCATENATE(M_ZERI,SUBSTITUTE(INSERIMENTO!BV4," ","0")),BU$12)</f>
        <v>0000</v>
      </c>
      <c r="BV2" s="239" t="str">
        <f>RIGHT(CONCATENATE(M_ZERI,SUBSTITUTE(INSERIMENTO!BW4," ","0")),BV$12)</f>
        <v>0000</v>
      </c>
      <c r="BW2" s="239" t="str">
        <f>RIGHT(CONCATENATE(M_ZERI,SUBSTITUTE(INSERIMENTO!BX4," ","0")),BW$12)</f>
        <v>000</v>
      </c>
      <c r="BX2" s="239" t="str">
        <f>RIGHT(CONCATENATE(M_ZERI,SUBSTITUTE(INSERIMENTO!BY4," ","0")),BX$12)</f>
        <v>000</v>
      </c>
      <c r="BY2" s="239" t="str">
        <f>RIGHT(CONCATENATE(M_ZERI,SUBSTITUTE(INSERIMENTO!BZ4," ","0")),BY$12)</f>
        <v>000</v>
      </c>
      <c r="BZ2" s="238" t="str">
        <f>RIGHT(CONCATENATE(M_ZERI,SUBSTITUTE(INSERIMENTO!CA4," ","0")),BZ$12)</f>
        <v>00</v>
      </c>
      <c r="CA2" s="238" t="str">
        <f>RIGHT(CONCATENATE(M_ZERI,SUBSTITUTE(INSERIMENTO!CB4," ","0")),CA$12)</f>
        <v>000</v>
      </c>
      <c r="CB2" s="238" t="str">
        <f>RIGHT(CONCATENATE(M_ZERI,SUBSTITUTE(INSERIMENTO!CC4," ","0")),CB$12)</f>
        <v>00000</v>
      </c>
      <c r="CC2" s="238" t="str">
        <f>RIGHT(CONCATENATE(M_ZERI,SUBSTITUTE(INSERIMENTO!CD4," ","0")),CC$12)</f>
        <v>000</v>
      </c>
      <c r="CD2" s="238" t="str">
        <f>RIGHT(CONCATENATE(M_ZERI,SUBSTITUTE(INSERIMENTO!CE4," ","0")),CD$12)</f>
        <v>00</v>
      </c>
      <c r="CE2" s="238" t="str">
        <f>RIGHT(CONCATENATE(M_ZERI,SUBSTITUTE(INSERIMENTO!CF4," ","0")),CE$12)</f>
        <v>000000</v>
      </c>
      <c r="CF2" s="238" t="str">
        <f>RIGHT(CONCATENATE(M_ZERI,SUBSTITUTE(INSERIMENTO!CG4," ","0")),CF$12)</f>
        <v>000000</v>
      </c>
      <c r="CG2" s="238" t="str">
        <f>RIGHT(CONCATENATE(M_ZERI,SUBSTITUTE(INSERIMENTO!CH4," ","0")),CG$12)</f>
        <v>000000</v>
      </c>
      <c r="CH2" s="238" t="str">
        <f>RIGHT(CONCATENATE(M_ZERI,SUBSTITUTE(INSERIMENTO!CI4," ","0")),CH$12)</f>
        <v>000</v>
      </c>
      <c r="CI2" s="238" t="str">
        <f>RIGHT(CONCATENATE(M_ZERI,SUBSTITUTE(INSERIMENTO!CJ4," ","0")),CI$12)</f>
        <v>000</v>
      </c>
      <c r="CJ2" s="238" t="str">
        <f>RIGHT(CONCATENATE(M_ZERI,SUBSTITUTE(INSERIMENTO!CK4," ","0")),CJ$12)</f>
        <v>000000</v>
      </c>
      <c r="CK2" s="238" t="str">
        <f>RIGHT(CONCATENATE(M_ZERI,SUBSTITUTE(INSERIMENTO!CL4," ","0")),CK$12)</f>
        <v>001</v>
      </c>
      <c r="CL2" s="238" t="str">
        <f>RIGHT(CONCATENATE(M_ZERI,SUBSTITUTE(INSERIMENTO!CM4," ","0")),CL$12)</f>
        <v>05</v>
      </c>
      <c r="CM2" s="238" t="str">
        <f>RIGHT(CONCATENATE(M_ZERI,SUBSTITUTE(INSERIMENTO!CN4," ","0")),CM$12)</f>
        <v>000</v>
      </c>
      <c r="CN2" s="238" t="str">
        <f>RIGHT(CONCATENATE(M_ZERI,SUBSTITUTE(INSERIMENTO!CO4," ","0")),CN$12)</f>
        <v>00</v>
      </c>
      <c r="CO2" s="277" t="str">
        <f>LEFT(CONCATENATE(INSERIMENTO!CP4,M_SPAZI),CO$12)</f>
        <v xml:space="preserve">PER MASSE, MASSE RIMORCHIABILI, PNEUMATICI, GANCI DI TRAINO, CARICHI VERTICALI, CARATTERISTICHE TECNICHE, ATTREZZATURE PORTATE E SEMIPORTATE, ALLESTIMENTI VARI , PRESCRIZIONI,  SI VEDA L'ALLEGATO TECNICO PARTE INTEGRANTE DELLA CARTA DI CIRCOLAZIONE.                                                                 </v>
      </c>
      <c r="CP2" s="277" t="str">
        <f>LEFT(CONCATENATE(INSERIMENTO!CQ4,M_SPAZI),CP$12)</f>
        <v xml:space="preserve">                                                                 </v>
      </c>
      <c r="CQ2" s="92" t="str">
        <f>CONCATENATE(B2,C2,D2,E2,F2,G2,H2,I2,J2,K2,L2,M2,N2,O2,P2,Q2,R2,S2,T2,U2,V2,W2,X2,Y2,Z2,AA2,AB2,AC2,AD2,AE2,AF2,AG2,AH2,AI2,AJ2,AK2,AL2,AM2,AN2,AO2,AP2,AQ2,AR2,AS2,AT2,AU2,AV2,AW2,AX2,AY2,AZ2,BA2,BB2,BC2,BD2,BE2,BF2,BG2,BH2,BI2,BJ2,BK2,BL2,BM2,BN2)</f>
        <v xml:space="preserve">IIEU96125MOCPBS/23012023E3*2010/22/0084*07                               1SABS  BCS ARH2/3 AKV 05B VOLCAN K 105 AR      Ikubota v3800-cr-t-eu3              G  400037697210                    000000004295165013501450350 1495000000000203500003500003500000000000000 340/65 R20 124A8 121B S.S.                                         008404384MO                                                     M    MO        04295135014501650350   </v>
      </c>
      <c r="CR2" s="92" t="str">
        <f>CONCATENATE(BO2,BP2,BQ2,BR2,BS2,BT2,BU2,BV2,BW2,BX2,BY2,BZ2,CA2,CB2,CC2,CD2,CE2,CF2,CG2,CH2,CI2,CJ2,CK2,CL2,CM2,CN2)</f>
        <v>000000000000000000000000000000000000000000000000000000000000000000000000000000000010500000</v>
      </c>
      <c r="CS2" s="92" t="str">
        <f>descrittive_A!A19</f>
        <v xml:space="preserve">PER MASSE, MASSE RIMORCHIABILI, PNEUMATICI, GANCI DI TRAINO, CARICHI VERTICALI, CARATTERISTICHE TECNICHE, ATTREZZATURE PORTATE E SEMIPORTATE, ALLESTIMENTI VARI, PRESCRIZIONI,  SI VEDA L'ALLEGATO TECNICO PARTE IN TEGRANTE DELLA CARTA DI CIRCOLAZIONE.                                                                                                                                                                               </v>
      </c>
      <c r="CT2" s="91" t="str">
        <f>descrittive_B!A19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U2" s="91" t="str">
        <f>descrittive_A!AH20</f>
        <v xml:space="preserve">PER MASSE, MASSE RIMORCHIABILI, PNEUMATICI, GANCI DI TRAINO, CARICHI VERTICALI, CARATTERISTICHE TECNICHE, ATTREZZATURE PORTATE E SEMIPORTATE, ALLESTIMENTI VARI, PRESCRIZIONI,  SI VEDA L'ALLEGATO TECNICO PARTE IN TEGRANTE DELLA CARTA DI CIRCOLAZIONE.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V2" s="91" t="str">
        <f>descrittive_B!AH20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" spans="1:100" ht="61.5" customHeight="1" x14ac:dyDescent="0.25">
      <c r="A3" s="93" t="str">
        <f>INSERIMENTO!B7</f>
        <v>Veicolo 2</v>
      </c>
      <c r="B3" s="240" t="str">
        <f>LEFT(CONCATENATE(INSERIMENTO!C7,M_SPAZI),B$12)</f>
        <v xml:space="preserve">  </v>
      </c>
      <c r="C3" s="240" t="str">
        <f>LEFT(CONCATENATE(INSERIMENTO!D7,M_SPAZI),C$12)</f>
        <v xml:space="preserve">                </v>
      </c>
      <c r="D3" s="530" t="str">
        <f>RIGHT(CONCATENATE(M_SPAZI,INSERIMENTO!E7),D$12)</f>
        <v xml:space="preserve">      </v>
      </c>
      <c r="E3" s="243" t="str">
        <f>LEFT(CONCATENATE(INSERIMENTO!F7,M_SPAZI),E$12)</f>
        <v xml:space="preserve">                                   </v>
      </c>
      <c r="F3" s="530" t="str">
        <f>RIGHT(CONCATENATE(M_SPAZI,INSERIMENTO!G7),F$12)</f>
        <v xml:space="preserve">        </v>
      </c>
      <c r="G3" s="530" t="str">
        <f>RIGHT(CONCATENATE(M_SPAZI,INSERIMENTO!H7),G$12)</f>
        <v xml:space="preserve">      </v>
      </c>
      <c r="H3" s="240" t="str">
        <f>LEFT(CONCATENATE(INSERIMENTO!I7,M_SPAZI),H$12)</f>
        <v xml:space="preserve">  </v>
      </c>
      <c r="I3" s="240" t="str">
        <f>LEFT(CONCATENATE(INSERIMENTO!J7,M_SPAZI),I$12)</f>
        <v xml:space="preserve"> </v>
      </c>
      <c r="J3" s="240" t="str">
        <f>LEFT(CONCATENATE(INSERIMENTO!K7,M_SPAZI),J$12)</f>
        <v xml:space="preserve"> </v>
      </c>
      <c r="K3" s="240" t="str">
        <f>LEFT(CONCATENATE(INSERIMENTO!L7,M_SPAZI),K$12)</f>
        <v xml:space="preserve"> </v>
      </c>
      <c r="L3" s="240" t="str">
        <f>LEFT(CONCATENATE(INSERIMENTO!M7,M_SPAZI),L$12)</f>
        <v xml:space="preserve"> </v>
      </c>
      <c r="M3" s="240" t="str">
        <f>LEFT(CONCATENATE(INSERIMENTO!N7,M_SPAZI),M$12)</f>
        <v xml:space="preserve"> </v>
      </c>
      <c r="N3" s="240" t="str">
        <f>LEFT(CONCATENATE(INSERIMENTO!O7,M_SPAZI),N$12)</f>
        <v xml:space="preserve">                                        </v>
      </c>
      <c r="O3" s="240" t="str">
        <f>LEFT(CONCATENATE(INSERIMENTO!P7,M_SPAZI),O$12)</f>
        <v xml:space="preserve"> </v>
      </c>
      <c r="P3" s="240" t="str">
        <f>LEFT(CONCATENATE(INSERIMENTO!Q7,M_SPAZI),P$12)</f>
        <v xml:space="preserve">                                   </v>
      </c>
      <c r="Q3" s="240" t="str">
        <f>LEFT(CONCATENATE(INSERIMENTO!R7,M_SPAZI),Q$12)</f>
        <v xml:space="preserve">   </v>
      </c>
      <c r="R3" s="240" t="str">
        <f>LEFT(CONCATENATE(INSERIMENTO!S7,M_SPAZI),R$12)</f>
        <v xml:space="preserve"> </v>
      </c>
      <c r="S3" s="239" t="str">
        <f>RIGHT(CONCATENATE(M_ZERI,SUBSTITUTE(INSERIMENTO!T7," ","0")),S$12)</f>
        <v>00</v>
      </c>
      <c r="T3" s="239" t="str">
        <f>RIGHT(CONCATENATE(M_ZERI,SUBSTITUTE(INSERIMENTO!U7," ","0")),T$12)</f>
        <v>00000</v>
      </c>
      <c r="U3" s="239" t="str">
        <f>RIGHT(CONCATENATE(M_ZERI,SUBSTITUTE(INSERIMENTO!V7," ","0")),U$12)</f>
        <v>0000</v>
      </c>
      <c r="V3" s="243" t="str">
        <f>LEFT(CONCATENATE(INSERIMENTO!W7,M_SPAZI),V$12)</f>
        <v xml:space="preserve">                    </v>
      </c>
      <c r="W3" s="238" t="str">
        <f>RIGHT(CONCATENATE(M_ZERI,SUBSTITUTE(INSERIMENTO!X7," ","0")),W$12)</f>
        <v>000</v>
      </c>
      <c r="X3" s="238" t="str">
        <f>RIGHT(CONCATENATE(M_ZERI,SUBSTITUTE(INSERIMENTO!Y7," ","0")),X$12)</f>
        <v>0000</v>
      </c>
      <c r="Y3" s="239" t="str">
        <f>RIGHT(CONCATENATE(M_ZERI,SUBSTITUTE(INSERIMENTO!Z7," ","0")),Y$12)</f>
        <v>00000</v>
      </c>
      <c r="Z3" s="238" t="str">
        <f>RIGHT(CONCATENATE(M_ZERI,SUBSTITUTE(INSERIMENTO!AA7," ","0")),Z$12)</f>
        <v>0000</v>
      </c>
      <c r="AA3" s="238" t="str">
        <f>RIGHT(CONCATENATE(M_ZERI,SUBSTITUTE(INSERIMENTO!AB7," ","0")),AA$12)</f>
        <v>0000</v>
      </c>
      <c r="AB3" s="238" t="str">
        <f>RIGHT(CONCATENATE(M_ZERI,SUBSTITUTE(INSERIMENTO!AC7," ","0")),AB$12)</f>
        <v>0000</v>
      </c>
      <c r="AC3" s="238" t="str">
        <f>RIGHT(CONCATENATE(M_ZERI,SUBSTITUTE(INSERIMENTO!AD7," ","0")),AC$12)</f>
        <v>000</v>
      </c>
      <c r="AD3" s="243" t="str">
        <f>LEFT(CONCATENATE(INSERIMENTO!AE7,M_SPAZI),AD$12)</f>
        <v xml:space="preserve"> </v>
      </c>
      <c r="AE3" s="238" t="str">
        <f>RIGHT(CONCATENATE(M_ZERI,SUBSTITUTE(INSERIMENTO!AF7," ","0")),AE$12)</f>
        <v>0000</v>
      </c>
      <c r="AF3" s="238" t="str">
        <f>RIGHT(CONCATENATE(M_ZERI,SUBSTITUTE(INSERIMENTO!AG7," ","0")),AF$12)</f>
        <v>0000</v>
      </c>
      <c r="AG3" s="238" t="str">
        <f>RIGHT(CONCATENATE(M_ZERI,SUBSTITUTE(INSERIMENTO!AH7," ","0")),AG$12)</f>
        <v>0000</v>
      </c>
      <c r="AH3" s="238" t="str">
        <f>RIGHT(CONCATENATE(M_ZERI,SUBSTITUTE(INSERIMENTO!AI7," ","0")),AH$12)</f>
        <v>00</v>
      </c>
      <c r="AI3" s="238" t="str">
        <f>RIGHT(CONCATENATE(M_ZERI,SUBSTITUTE(INSERIMENTO!AJ7," ","0")),AI$12)</f>
        <v>00000</v>
      </c>
      <c r="AJ3" s="238" t="str">
        <f>RIGHT(CONCATENATE(M_ZERI,SUBSTITUTE(INSERIMENTO!AK7," ","0")),AJ$12)</f>
        <v>000000</v>
      </c>
      <c r="AK3" s="238" t="str">
        <f>RIGHT(CONCATENATE(M_ZERI,SUBSTITUTE(INSERIMENTO!AL7," ","0")),AK$12)</f>
        <v>000000</v>
      </c>
      <c r="AL3" s="238" t="str">
        <f>RIGHT(CONCATENATE(M_ZERI,SUBSTITUTE(INSERIMENTO!AM7," ","0")),AL$12)</f>
        <v>00000</v>
      </c>
      <c r="AM3" s="238" t="str">
        <f>RIGHT(CONCATENATE(M_ZERI,SUBSTITUTE(INSERIMENTO!AN7," ","0")),AM$12)</f>
        <v>0</v>
      </c>
      <c r="AN3" s="238" t="str">
        <f>RIGHT(CONCATENATE(M_ZERI,SUBSTITUTE(INSERIMENTO!AO7," ","0")),AN$12)</f>
        <v>00000</v>
      </c>
      <c r="AO3" s="238" t="str">
        <f>RIGHT(CONCATENATE(M_ZERI,SUBSTITUTE(INSERIMENTO!AP7," ","0")),AO$12)</f>
        <v>0</v>
      </c>
      <c r="AP3" s="243" t="str">
        <f>LEFT(CONCATENATE(INSERIMENTO!AQ7,M_SPAZI),AP$12)</f>
        <v xml:space="preserve"> </v>
      </c>
      <c r="AQ3" s="243" t="str">
        <f>LEFT(CONCATENATE(INSERIMENTO!AR7,M_SPAZI),AQ$12)</f>
        <v xml:space="preserve">                                                                 </v>
      </c>
      <c r="AR3" s="243" t="str">
        <f>LEFT(CONCATENATE(INSERIMENTO!AS7,M_SPAZI),AR$12)</f>
        <v xml:space="preserve"> </v>
      </c>
      <c r="AS3" s="240" t="str">
        <f>LEFT(CONCATENATE(INSERIMENTO!AT7,M_SPAZI),AS$12)</f>
        <v xml:space="preserve"> </v>
      </c>
      <c r="AT3" s="238" t="str">
        <f>RIGHT(CONCATENATE(M_ZERI,SUBSTITUTE(INSERIMENTO!AU7," ","0")),AT$12)</f>
        <v>000</v>
      </c>
      <c r="AU3" s="238" t="str">
        <f>RIGHT(CONCATENATE(M_ZERI,SUBSTITUTE(INSERIMENTO!AV7," ","0")),AU$12)</f>
        <v>000</v>
      </c>
      <c r="AV3" s="238" t="str">
        <f>RIGHT(CONCATENATE(M_ZERI,SUBSTITUTE(INSERIMENTO!AW7," ","0")),AV$12)</f>
        <v>000</v>
      </c>
      <c r="AW3" s="240" t="str">
        <f>LEFT(CONCATENATE(INSERIMENTO!AX7,M_SPAZI),AW$12)</f>
        <v xml:space="preserve">  </v>
      </c>
      <c r="AX3" s="240" t="str">
        <f>LEFT(CONCATENATE(INSERIMENTO!AY7,M_SPAZI),AX$12)</f>
        <v xml:space="preserve">                                                     </v>
      </c>
      <c r="AY3" s="240" t="str">
        <f>LEFT(CONCATENATE(INSERIMENTO!AZ7,M_SPAZI),AY$12)</f>
        <v xml:space="preserve"> </v>
      </c>
      <c r="AZ3" s="240" t="str">
        <f>LEFT(CONCATENATE(INSERIMENTO!BA7,M_SPAZI),AZ$12)</f>
        <v xml:space="preserve"> </v>
      </c>
      <c r="BA3" s="240" t="str">
        <f>LEFT(CONCATENATE(INSERIMENTO!BB7,M_SPAZI),BA$12)</f>
        <v xml:space="preserve"> </v>
      </c>
      <c r="BB3" s="240" t="str">
        <f>LEFT(CONCATENATE(INSERIMENTO!BC7,M_SPAZI),BB$12)</f>
        <v xml:space="preserve"> </v>
      </c>
      <c r="BC3" s="240" t="str">
        <f>LEFT(CONCATENATE(INSERIMENTO!BD7,M_SPAZI),BC$12)</f>
        <v xml:space="preserve"> </v>
      </c>
      <c r="BD3" s="240" t="str">
        <f>LEFT(CONCATENATE(INSERIMENTO!BE7,M_SPAZI),BD$12)</f>
        <v xml:space="preserve">  </v>
      </c>
      <c r="BE3" s="240" t="str">
        <f>LEFT(CONCATENATE(INSERIMENTO!BF7,M_SPAZI),BE$12)</f>
        <v xml:space="preserve">  </v>
      </c>
      <c r="BF3" s="240" t="str">
        <f>LEFT(CONCATENATE(INSERIMENTO!BG7,M_SPAZI),BF$12)</f>
        <v xml:space="preserve">  </v>
      </c>
      <c r="BG3" s="240" t="str">
        <f>LEFT(CONCATENATE(INSERIMENTO!BH7,M_SPAZI),BG$12)</f>
        <v xml:space="preserve">  </v>
      </c>
      <c r="BH3" s="240" t="str">
        <f>LEFT(CONCATENATE(INSERIMENTO!BI7,M_SPAZI),BH$12)</f>
        <v xml:space="preserve">  </v>
      </c>
      <c r="BI3" s="239" t="str">
        <f>RIGHT(CONCATENATE(M_ZERI,SUBSTITUTE(INSERIMENTO!BJ7," ","0")),BI$12)</f>
        <v>00000</v>
      </c>
      <c r="BJ3" s="239" t="str">
        <f>RIGHT(CONCATENATE(M_ZERI,SUBSTITUTE(INSERIMENTO!BK7," ","0")),BJ$12)</f>
        <v>0000</v>
      </c>
      <c r="BK3" s="238" t="str">
        <f>RIGHT(CONCATENATE(M_ZERI,SUBSTITUTE(INSERIMENTO!BL7," ","0")),BK$12)</f>
        <v>0000</v>
      </c>
      <c r="BL3" s="238" t="str">
        <f>RIGHT(CONCATENATE(M_ZERI,SUBSTITUTE(INSERIMENTO!BM7," ","0")),BL$12)</f>
        <v>0000</v>
      </c>
      <c r="BM3" s="238" t="str">
        <f>RIGHT(CONCATENATE(M_ZERI,SUBSTITUTE(INSERIMENTO!BN7," ","0")),BM$12)</f>
        <v>000</v>
      </c>
      <c r="BN3" s="338" t="str">
        <f>LEFT(CONCATENATE(INSERIMENTO!BO7,M_SPAZI),BN$12)</f>
        <v xml:space="preserve">   </v>
      </c>
      <c r="BO3" s="335" t="str">
        <f>RIGHT(CONCATENATE(M_ZERI,SUBSTITUTE(INSERIMENTO!BP7," ","0")),BO$12)</f>
        <v>000</v>
      </c>
      <c r="BP3" s="238" t="str">
        <f>RIGHT(CONCATENATE(M_ZERI,SUBSTITUTE(INSERIMENTO!BQ7," ","0")),BP$12)</f>
        <v>000</v>
      </c>
      <c r="BQ3" s="238" t="str">
        <f>RIGHT(CONCATENATE(M_ZERI,SUBSTITUTE(INSERIMENTO!BR7," ","0")),BQ$12)</f>
        <v>000</v>
      </c>
      <c r="BR3" s="239" t="str">
        <f>RIGHT(CONCATENATE(M_ZERI,SUBSTITUTE(INSERIMENTO!BS7," ","0")),BR$12)</f>
        <v>000</v>
      </c>
      <c r="BS3" s="239" t="str">
        <f>RIGHT(CONCATENATE(M_ZERI,SUBSTITUTE(INSERIMENTO!BT7," ","0")),BS$12)</f>
        <v>000</v>
      </c>
      <c r="BT3" s="239" t="str">
        <f>RIGHT(CONCATENATE(M_ZERI,SUBSTITUTE(INSERIMENTO!BU7," ","0")),BT$12)</f>
        <v>000</v>
      </c>
      <c r="BU3" s="239" t="str">
        <f>RIGHT(CONCATENATE(M_ZERI,SUBSTITUTE(INSERIMENTO!BV7," ","0")),BU$12)</f>
        <v>0000</v>
      </c>
      <c r="BV3" s="239" t="str">
        <f>RIGHT(CONCATENATE(M_ZERI,SUBSTITUTE(INSERIMENTO!BW7," ","0")),BV$12)</f>
        <v>0000</v>
      </c>
      <c r="BW3" s="239" t="str">
        <f>RIGHT(CONCATENATE(M_ZERI,SUBSTITUTE(INSERIMENTO!BX7," ","0")),BW$12)</f>
        <v>000</v>
      </c>
      <c r="BX3" s="239" t="str">
        <f>RIGHT(CONCATENATE(M_ZERI,SUBSTITUTE(INSERIMENTO!BY7," ","0")),BX$12)</f>
        <v>000</v>
      </c>
      <c r="BY3" s="239" t="str">
        <f>RIGHT(CONCATENATE(M_ZERI,SUBSTITUTE(INSERIMENTO!BZ7," ","0")),BY$12)</f>
        <v>000</v>
      </c>
      <c r="BZ3" s="239" t="str">
        <f>RIGHT(CONCATENATE(M_ZERI,SUBSTITUTE(INSERIMENTO!CA7," ","0")),BZ$12)</f>
        <v>00</v>
      </c>
      <c r="CA3" s="239" t="str">
        <f>RIGHT(CONCATENATE(M_ZERI,SUBSTITUTE(INSERIMENTO!CB7," ","0")),CA$12)</f>
        <v>000</v>
      </c>
      <c r="CB3" s="239" t="str">
        <f>RIGHT(CONCATENATE(M_ZERI,SUBSTITUTE(INSERIMENTO!CC7," ","0")),CB$12)</f>
        <v>00000</v>
      </c>
      <c r="CC3" s="239" t="str">
        <f>RIGHT(CONCATENATE(M_ZERI,SUBSTITUTE(INSERIMENTO!CD7," ","0")),CC$12)</f>
        <v>000</v>
      </c>
      <c r="CD3" s="239" t="str">
        <f>RIGHT(CONCATENATE(M_ZERI,SUBSTITUTE(INSERIMENTO!CE7," ","0")),CD$12)</f>
        <v>00</v>
      </c>
      <c r="CE3" s="239" t="str">
        <f>RIGHT(CONCATENATE(M_ZERI,SUBSTITUTE(INSERIMENTO!CF7," ","0")),CE$12)</f>
        <v>000000</v>
      </c>
      <c r="CF3" s="239" t="str">
        <f>RIGHT(CONCATENATE(M_ZERI,SUBSTITUTE(INSERIMENTO!CG7," ","0")),CF$12)</f>
        <v>000000</v>
      </c>
      <c r="CG3" s="239" t="str">
        <f>RIGHT(CONCATENATE(M_ZERI,SUBSTITUTE(INSERIMENTO!CH7," ","0")),CG$12)</f>
        <v>000000</v>
      </c>
      <c r="CH3" s="239" t="str">
        <f>RIGHT(CONCATENATE(M_ZERI,SUBSTITUTE(INSERIMENTO!CI7," ","0")),CH$12)</f>
        <v>000</v>
      </c>
      <c r="CI3" s="239" t="str">
        <f>RIGHT(CONCATENATE(M_ZERI,SUBSTITUTE(INSERIMENTO!CJ7," ","0")),CI$12)</f>
        <v>000</v>
      </c>
      <c r="CJ3" s="239" t="str">
        <f>RIGHT(CONCATENATE(M_ZERI,SUBSTITUTE(INSERIMENTO!CK7," ","0")),CJ$12)</f>
        <v>000000</v>
      </c>
      <c r="CK3" s="239" t="str">
        <f>RIGHT(CONCATENATE(M_ZERI,SUBSTITUTE(INSERIMENTO!CL7," ","0")),CK$12)</f>
        <v>000</v>
      </c>
      <c r="CL3" s="239" t="str">
        <f>RIGHT(CONCATENATE(M_ZERI,SUBSTITUTE(INSERIMENTO!CM7," ","0")),CL$12)</f>
        <v>00</v>
      </c>
      <c r="CM3" s="239" t="str">
        <f>RIGHT(CONCATENATE(M_ZERI,SUBSTITUTE(INSERIMENTO!CN7," ","0")),CM$12)</f>
        <v>000</v>
      </c>
      <c r="CN3" s="239" t="str">
        <f>RIGHT(CONCATENATE(M_ZERI,SUBSTITUTE(INSERIMENTO!CO7," ","0")),CN$12)</f>
        <v>00</v>
      </c>
      <c r="CO3" s="244" t="str">
        <f>LEFT(CONCATENATE(INSERIMENTO!CP7,M_SPAZI),CO$12)</f>
        <v xml:space="preserve">                                                                 </v>
      </c>
      <c r="CP3" s="244" t="str">
        <f>LEFT(CONCATENATE(INSERIMENTO!CQ7,M_SPAZI),CP$12)</f>
        <v xml:space="preserve">                                                                 </v>
      </c>
      <c r="CQ3" s="92" t="str">
        <f>CONCATENATE(B3,C3,D3,E3,F3,G3,H3,I3,J3,K3,L3,M3,N3,O3,P3,Q3,R3,S3,T3,U3,V3,W3,X3,Y3,Z3,AA3,AB3,AC3,AD3,AE3,AF3,AG3,AH3,AI3,AJ3,AK3,AL3,AM3,AN3,AO3,AP3,AQ3,AR3,AS3,AT3,AU3,AV3,AW3,AX3,AY3,AZ3,BA3,BB3,BC3,BD3,BE3,BF3,BG3,BH3,BI3,BJ3,BK3,BL3,BM3,BN3)</f>
        <v xml:space="preserve">                                                                                                                                                                00000000000                    000000000000000000000000000 0000000000000000000000000000000000000000000                                                                    000000000                                                                      00000000000000000000   </v>
      </c>
      <c r="CR3" s="94" t="str">
        <f>CONCATENATE(BO3,BP3,BQ3,BR3,BS3,BT3,BU3,BV3,BW3,BX3,BY3,BZ3,CA3,CB3,CC3,CD3,CE3,CF3,CG3,CH3,CI3,CJ3,CK3,CL3,CM3,CN3)</f>
        <v>000000000000000000000000000000000000000000000000000000000000000000000000000000000000000000</v>
      </c>
      <c r="CS3" s="94" t="str">
        <f>descrittive_A!A43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T3" s="94" t="str">
        <f>descrittive_B!A39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U3" s="94" t="str">
        <f>descrittive_A!AH44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V3" s="94" t="str">
        <f>descrittive_B!AH40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" spans="1:100" ht="61.5" customHeight="1" x14ac:dyDescent="0.25">
      <c r="A4" s="78" t="str">
        <f>INSERIMENTO!B10</f>
        <v>Veicolo 3</v>
      </c>
      <c r="B4" s="241" t="str">
        <f>LEFT(CONCATENATE(INSERIMENTO!C10,M_SPAZI),B$12)</f>
        <v xml:space="preserve">  </v>
      </c>
      <c r="C4" s="241" t="str">
        <f>LEFT(CONCATENATE(INSERIMENTO!D10,M_SPAZI),C$12)</f>
        <v xml:space="preserve">                </v>
      </c>
      <c r="D4" s="531" t="str">
        <f>RIGHT(CONCATENATE(M_SPAZI,INSERIMENTO!E10),D$12)</f>
        <v xml:space="preserve">      </v>
      </c>
      <c r="E4" s="241" t="str">
        <f>LEFT(CONCATENATE(INSERIMENTO!F10,M_SPAZI),E$12)</f>
        <v xml:space="preserve">                                   </v>
      </c>
      <c r="F4" s="531" t="str">
        <f>RIGHT(CONCATENATE(M_SPAZI,INSERIMENTO!G10),F$12)</f>
        <v xml:space="preserve">        </v>
      </c>
      <c r="G4" s="531" t="str">
        <f>RIGHT(CONCATENATE(M_SPAZI,INSERIMENTO!H10),G$12)</f>
        <v xml:space="preserve">      </v>
      </c>
      <c r="H4" s="241" t="str">
        <f>LEFT(CONCATENATE(INSERIMENTO!I10,M_SPAZI),H$12)</f>
        <v xml:space="preserve">  </v>
      </c>
      <c r="I4" s="241" t="str">
        <f>LEFT(CONCATENATE(INSERIMENTO!J10,M_SPAZI),I$12)</f>
        <v xml:space="preserve"> </v>
      </c>
      <c r="J4" s="241" t="str">
        <f>LEFT(CONCATENATE(INSERIMENTO!K10,M_SPAZI),J$12)</f>
        <v xml:space="preserve"> </v>
      </c>
      <c r="K4" s="241" t="str">
        <f>LEFT(CONCATENATE(INSERIMENTO!L10,M_SPAZI),K$12)</f>
        <v xml:space="preserve"> </v>
      </c>
      <c r="L4" s="241" t="str">
        <f>LEFT(CONCATENATE(INSERIMENTO!M10,M_SPAZI),L$12)</f>
        <v xml:space="preserve"> </v>
      </c>
      <c r="M4" s="241" t="str">
        <f>LEFT(CONCATENATE(INSERIMENTO!N10,M_SPAZI),M$12)</f>
        <v xml:space="preserve"> </v>
      </c>
      <c r="N4" s="241" t="str">
        <f>LEFT(CONCATENATE(INSERIMENTO!O10,M_SPAZI),N$12)</f>
        <v xml:space="preserve">                                        </v>
      </c>
      <c r="O4" s="241" t="str">
        <f>LEFT(CONCATENATE(INSERIMENTO!P10,M_SPAZI),O$12)</f>
        <v xml:space="preserve"> </v>
      </c>
      <c r="P4" s="241" t="str">
        <f>LEFT(CONCATENATE(INSERIMENTO!Q10,M_SPAZI),P$12)</f>
        <v xml:space="preserve">                                   </v>
      </c>
      <c r="Q4" s="241" t="str">
        <f>LEFT(CONCATENATE(INSERIMENTO!R10,M_SPAZI),Q$12)</f>
        <v xml:space="preserve">   </v>
      </c>
      <c r="R4" s="241" t="str">
        <f>LEFT(CONCATENATE(INSERIMENTO!S10,M_SPAZI),R$12)</f>
        <v xml:space="preserve"> </v>
      </c>
      <c r="S4" s="239" t="str">
        <f>RIGHT(CONCATENATE(M_ZERI,SUBSTITUTE(INSERIMENTO!T10," ","0")),S$12)</f>
        <v>00</v>
      </c>
      <c r="T4" s="239" t="str">
        <f>RIGHT(CONCATENATE(M_ZERI,SUBSTITUTE(INSERIMENTO!U10," ","0")),T$12)</f>
        <v>00000</v>
      </c>
      <c r="U4" s="239" t="str">
        <f>RIGHT(CONCATENATE(M_ZERI,SUBSTITUTE(INSERIMENTO!V10," ","0")),U$12)</f>
        <v>0000</v>
      </c>
      <c r="V4" s="278" t="str">
        <f>LEFT(CONCATENATE(INSERIMENTO!W10,M_SPAZI),V$12)</f>
        <v xml:space="preserve">                    </v>
      </c>
      <c r="W4" s="238" t="str">
        <f>RIGHT(CONCATENATE(M_ZERI,SUBSTITUTE(INSERIMENTO!X10," ","0")),W$12)</f>
        <v>000</v>
      </c>
      <c r="X4" s="238" t="str">
        <f>RIGHT(CONCATENATE(M_ZERI,SUBSTITUTE(INSERIMENTO!Y10," ","0")),X$12)</f>
        <v>0000</v>
      </c>
      <c r="Y4" s="239" t="str">
        <f>RIGHT(CONCATENATE(M_ZERI,SUBSTITUTE(INSERIMENTO!Z10," ","0")),Y$12)</f>
        <v>00000</v>
      </c>
      <c r="Z4" s="238" t="str">
        <f>RIGHT(CONCATENATE(M_ZERI,SUBSTITUTE(INSERIMENTO!AA10," ","0")),Z$12)</f>
        <v>0000</v>
      </c>
      <c r="AA4" s="238" t="str">
        <f>RIGHT(CONCATENATE(M_ZERI,SUBSTITUTE(INSERIMENTO!AB10," ","0")),AA$12)</f>
        <v>0000</v>
      </c>
      <c r="AB4" s="238" t="str">
        <f>RIGHT(CONCATENATE(M_ZERI,SUBSTITUTE(INSERIMENTO!AC10," ","0")),AB$12)</f>
        <v>0000</v>
      </c>
      <c r="AC4" s="238" t="str">
        <f>RIGHT(CONCATENATE(M_ZERI,SUBSTITUTE(INSERIMENTO!AD10," ","0")),AC$12)</f>
        <v>000</v>
      </c>
      <c r="AD4" s="278" t="str">
        <f>LEFT(CONCATENATE(INSERIMENTO!AE10,M_SPAZI),AD$12)</f>
        <v xml:space="preserve"> </v>
      </c>
      <c r="AE4" s="238" t="str">
        <f>RIGHT(CONCATENATE(M_ZERI,SUBSTITUTE(INSERIMENTO!AF10," ","0")),AE$12)</f>
        <v>0000</v>
      </c>
      <c r="AF4" s="238" t="str">
        <f>RIGHT(CONCATENATE(M_ZERI,SUBSTITUTE(INSERIMENTO!AG10," ","0")),AF$12)</f>
        <v>0000</v>
      </c>
      <c r="AG4" s="238" t="str">
        <f>RIGHT(CONCATENATE(M_ZERI,SUBSTITUTE(INSERIMENTO!AH10," ","0")),AG$12)</f>
        <v>0000</v>
      </c>
      <c r="AH4" s="238" t="str">
        <f>RIGHT(CONCATENATE(M_ZERI,SUBSTITUTE(INSERIMENTO!AI10," ","0")),AH$12)</f>
        <v>00</v>
      </c>
      <c r="AI4" s="238" t="str">
        <f>RIGHT(CONCATENATE(M_ZERI,SUBSTITUTE(INSERIMENTO!AJ10," ","0")),AI$12)</f>
        <v>00000</v>
      </c>
      <c r="AJ4" s="238" t="str">
        <f>RIGHT(CONCATENATE(M_ZERI,SUBSTITUTE(INSERIMENTO!AK10," ","0")),AJ$12)</f>
        <v>000000</v>
      </c>
      <c r="AK4" s="238" t="str">
        <f>RIGHT(CONCATENATE(M_ZERI,SUBSTITUTE(INSERIMENTO!AL10," ","0")),AK$12)</f>
        <v>000000</v>
      </c>
      <c r="AL4" s="238" t="str">
        <f>RIGHT(CONCATENATE(M_ZERI,SUBSTITUTE(INSERIMENTO!AM10," ","0")),AL$12)</f>
        <v>00000</v>
      </c>
      <c r="AM4" s="238" t="str">
        <f>RIGHT(CONCATENATE(M_ZERI,SUBSTITUTE(INSERIMENTO!AN10," ","0")),AM$12)</f>
        <v>0</v>
      </c>
      <c r="AN4" s="238" t="str">
        <f>RIGHT(CONCATENATE(M_ZERI,SUBSTITUTE(INSERIMENTO!AO10," ","0")),AN$12)</f>
        <v>00000</v>
      </c>
      <c r="AO4" s="238" t="str">
        <f>RIGHT(CONCATENATE(M_ZERI,SUBSTITUTE(INSERIMENTO!AP10," ","0")),AO$12)</f>
        <v>0</v>
      </c>
      <c r="AP4" s="278" t="str">
        <f>LEFT(CONCATENATE(INSERIMENTO!AQ10,M_SPAZI),AP$12)</f>
        <v xml:space="preserve"> </v>
      </c>
      <c r="AQ4" s="278" t="str">
        <f>LEFT(CONCATENATE(INSERIMENTO!AR10,M_SPAZI),AQ$12)</f>
        <v xml:space="preserve">                                                                 </v>
      </c>
      <c r="AR4" s="278" t="str">
        <f>LEFT(CONCATENATE(INSERIMENTO!AS10,M_SPAZI),AR$12)</f>
        <v xml:space="preserve"> </v>
      </c>
      <c r="AS4" s="241" t="str">
        <f>LEFT(CONCATENATE(INSERIMENTO!AT10,M_SPAZI),AS$12)</f>
        <v xml:space="preserve"> </v>
      </c>
      <c r="AT4" s="238" t="str">
        <f>RIGHT(CONCATENATE(M_ZERI,SUBSTITUTE(INSERIMENTO!AU10," ","0")),AT$12)</f>
        <v>000</v>
      </c>
      <c r="AU4" s="238" t="str">
        <f>RIGHT(CONCATENATE(M_ZERI,SUBSTITUTE(INSERIMENTO!AV10," ","0")),AU$12)</f>
        <v>000</v>
      </c>
      <c r="AV4" s="238" t="str">
        <f>RIGHT(CONCATENATE(M_ZERI,SUBSTITUTE(INSERIMENTO!AW10," ","0")),AV$12)</f>
        <v>000</v>
      </c>
      <c r="AW4" s="241" t="str">
        <f>LEFT(CONCATENATE(INSERIMENTO!AX10,M_SPAZI),AW$12)</f>
        <v xml:space="preserve">  </v>
      </c>
      <c r="AX4" s="241" t="str">
        <f>LEFT(CONCATENATE(INSERIMENTO!AY10,M_SPAZI),AX$12)</f>
        <v xml:space="preserve">                                                     </v>
      </c>
      <c r="AY4" s="241" t="str">
        <f>LEFT(CONCATENATE(INSERIMENTO!AZ10,M_SPAZI),AY$12)</f>
        <v xml:space="preserve"> </v>
      </c>
      <c r="AZ4" s="241" t="str">
        <f>LEFT(CONCATENATE(INSERIMENTO!BA10,M_SPAZI),AZ$12)</f>
        <v xml:space="preserve"> </v>
      </c>
      <c r="BA4" s="241" t="str">
        <f>LEFT(CONCATENATE(INSERIMENTO!BB10,M_SPAZI),BA$12)</f>
        <v xml:space="preserve"> </v>
      </c>
      <c r="BB4" s="241" t="str">
        <f>LEFT(CONCATENATE(INSERIMENTO!BC10,M_SPAZI),BB$12)</f>
        <v xml:space="preserve"> </v>
      </c>
      <c r="BC4" s="241" t="str">
        <f>LEFT(CONCATENATE(INSERIMENTO!BD10,M_SPAZI),BC$12)</f>
        <v xml:space="preserve"> </v>
      </c>
      <c r="BD4" s="241" t="str">
        <f>LEFT(CONCATENATE(INSERIMENTO!BE10,M_SPAZI),BD$12)</f>
        <v xml:space="preserve">  </v>
      </c>
      <c r="BE4" s="241" t="str">
        <f>LEFT(CONCATENATE(INSERIMENTO!BF10,M_SPAZI),BE$12)</f>
        <v xml:space="preserve">  </v>
      </c>
      <c r="BF4" s="241" t="str">
        <f>LEFT(CONCATENATE(INSERIMENTO!BG10,M_SPAZI),BF$12)</f>
        <v xml:space="preserve">  </v>
      </c>
      <c r="BG4" s="241" t="str">
        <f>LEFT(CONCATENATE(INSERIMENTO!BH10,M_SPAZI),BG$12)</f>
        <v xml:space="preserve">  </v>
      </c>
      <c r="BH4" s="241" t="str">
        <f>LEFT(CONCATENATE(INSERIMENTO!BI10,M_SPAZI),BH$12)</f>
        <v xml:space="preserve">  </v>
      </c>
      <c r="BI4" s="239" t="str">
        <f>RIGHT(CONCATENATE(M_ZERI,SUBSTITUTE(INSERIMENTO!BJ10," ","0")),BI$12)</f>
        <v>00000</v>
      </c>
      <c r="BJ4" s="239" t="str">
        <f>RIGHT(CONCATENATE(M_ZERI,SUBSTITUTE(INSERIMENTO!BK10," ","0")),BJ$12)</f>
        <v>0000</v>
      </c>
      <c r="BK4" s="238" t="str">
        <f>RIGHT(CONCATENATE(M_ZERI,SUBSTITUTE(INSERIMENTO!BL10," ","0")),BK$12)</f>
        <v>0000</v>
      </c>
      <c r="BL4" s="238" t="str">
        <f>RIGHT(CONCATENATE(M_ZERI,SUBSTITUTE(INSERIMENTO!BM10," ","0")),BL$12)</f>
        <v>0000</v>
      </c>
      <c r="BM4" s="238" t="str">
        <f>RIGHT(CONCATENATE(M_ZERI,SUBSTITUTE(INSERIMENTO!BN10," ","0")),BM$12)</f>
        <v>000</v>
      </c>
      <c r="BN4" s="339" t="str">
        <f>LEFT(CONCATENATE(INSERIMENTO!BO10,M_SPAZI),BN$12)</f>
        <v xml:space="preserve">   </v>
      </c>
      <c r="BO4" s="335" t="str">
        <f>RIGHT(CONCATENATE(M_ZERI,SUBSTITUTE(INSERIMENTO!BP10," ","0")),BO$12)</f>
        <v>000</v>
      </c>
      <c r="BP4" s="238" t="str">
        <f>RIGHT(CONCATENATE(M_ZERI,SUBSTITUTE(INSERIMENTO!BQ10," ","0")),BP$12)</f>
        <v>000</v>
      </c>
      <c r="BQ4" s="238" t="str">
        <f>RIGHT(CONCATENATE(M_ZERI,SUBSTITUTE(INSERIMENTO!BR10," ","0")),BQ$12)</f>
        <v>000</v>
      </c>
      <c r="BR4" s="239" t="str">
        <f>RIGHT(CONCATENATE(M_ZERI,SUBSTITUTE(INSERIMENTO!BS10," ","0")),BR$12)</f>
        <v>000</v>
      </c>
      <c r="BS4" s="239" t="str">
        <f>RIGHT(CONCATENATE(M_ZERI,SUBSTITUTE(INSERIMENTO!BT10," ","0")),BS$12)</f>
        <v>000</v>
      </c>
      <c r="BT4" s="239" t="str">
        <f>RIGHT(CONCATENATE(M_ZERI,SUBSTITUTE(INSERIMENTO!BU10," ","0")),BT$12)</f>
        <v>000</v>
      </c>
      <c r="BU4" s="239" t="str">
        <f>RIGHT(CONCATENATE(M_ZERI,SUBSTITUTE(INSERIMENTO!BV10," ","0")),BU$12)</f>
        <v>0000</v>
      </c>
      <c r="BV4" s="239" t="str">
        <f>RIGHT(CONCATENATE(M_ZERI,SUBSTITUTE(INSERIMENTO!BW10," ","0")),BV$12)</f>
        <v>0000</v>
      </c>
      <c r="BW4" s="239" t="str">
        <f>RIGHT(CONCATENATE(M_ZERI,SUBSTITUTE(INSERIMENTO!BX10," ","0")),BW$12)</f>
        <v>000</v>
      </c>
      <c r="BX4" s="239" t="str">
        <f>RIGHT(CONCATENATE(M_ZERI,SUBSTITUTE(INSERIMENTO!BY10," ","0")),BX$12)</f>
        <v>000</v>
      </c>
      <c r="BY4" s="239" t="str">
        <f>RIGHT(CONCATENATE(M_ZERI,SUBSTITUTE(INSERIMENTO!BZ10," ","0")),BY$12)</f>
        <v>000</v>
      </c>
      <c r="BZ4" s="239" t="str">
        <f>RIGHT(CONCATENATE(M_ZERI,SUBSTITUTE(INSERIMENTO!CA10," ","0")),BZ$12)</f>
        <v>00</v>
      </c>
      <c r="CA4" s="239" t="str">
        <f>RIGHT(CONCATENATE(M_ZERI,SUBSTITUTE(INSERIMENTO!CB10," ","0")),CA$12)</f>
        <v>000</v>
      </c>
      <c r="CB4" s="239" t="str">
        <f>RIGHT(CONCATENATE(M_ZERI,SUBSTITUTE(INSERIMENTO!CC10," ","0")),CB$12)</f>
        <v>00000</v>
      </c>
      <c r="CC4" s="239" t="str">
        <f>RIGHT(CONCATENATE(M_ZERI,SUBSTITUTE(INSERIMENTO!CD10," ","0")),CC$12)</f>
        <v>000</v>
      </c>
      <c r="CD4" s="239" t="str">
        <f>RIGHT(CONCATENATE(M_ZERI,SUBSTITUTE(INSERIMENTO!CE10," ","0")),CD$12)</f>
        <v>00</v>
      </c>
      <c r="CE4" s="239" t="str">
        <f>RIGHT(CONCATENATE(M_ZERI,SUBSTITUTE(INSERIMENTO!CF10," ","0")),CE$12)</f>
        <v>000000</v>
      </c>
      <c r="CF4" s="239" t="str">
        <f>RIGHT(CONCATENATE(M_ZERI,SUBSTITUTE(INSERIMENTO!CG10," ","0")),CF$12)</f>
        <v>000000</v>
      </c>
      <c r="CG4" s="239" t="str">
        <f>RIGHT(CONCATENATE(M_ZERI,SUBSTITUTE(INSERIMENTO!CH10," ","0")),CG$12)</f>
        <v>000000</v>
      </c>
      <c r="CH4" s="239" t="str">
        <f>RIGHT(CONCATENATE(M_ZERI,SUBSTITUTE(INSERIMENTO!CI10," ","0")),CH$12)</f>
        <v>000</v>
      </c>
      <c r="CI4" s="239" t="str">
        <f>RIGHT(CONCATENATE(M_ZERI,SUBSTITUTE(INSERIMENTO!CJ10," ","0")),CI$12)</f>
        <v>000</v>
      </c>
      <c r="CJ4" s="239" t="str">
        <f>RIGHT(CONCATENATE(M_ZERI,SUBSTITUTE(INSERIMENTO!CK10," ","0")),CJ$12)</f>
        <v>000000</v>
      </c>
      <c r="CK4" s="239" t="str">
        <f>RIGHT(CONCATENATE(M_ZERI,SUBSTITUTE(INSERIMENTO!CL10," ","0")),CK$12)</f>
        <v>000</v>
      </c>
      <c r="CL4" s="239" t="str">
        <f>RIGHT(CONCATENATE(M_ZERI,SUBSTITUTE(INSERIMENTO!CM10," ","0")),CL$12)</f>
        <v>00</v>
      </c>
      <c r="CM4" s="239" t="str">
        <f>RIGHT(CONCATENATE(M_ZERI,SUBSTITUTE(INSERIMENTO!CN10," ","0")),CM$12)</f>
        <v>000</v>
      </c>
      <c r="CN4" s="239" t="str">
        <f>RIGHT(CONCATENATE(M_ZERI,SUBSTITUTE(INSERIMENTO!CO10," ","0")),CN$12)</f>
        <v>00</v>
      </c>
      <c r="CO4" s="245" t="str">
        <f>LEFT(CONCATENATE(INSERIMENTO!CP10,M_SPAZI),CO$12)</f>
        <v xml:space="preserve">                                                                 </v>
      </c>
      <c r="CP4" s="245" t="str">
        <f>LEFT(CONCATENATE(INSERIMENTO!CQ10,M_SPAZI),CP$12)</f>
        <v xml:space="preserve">                                                                 </v>
      </c>
      <c r="CQ4" s="92" t="str">
        <f>CONCATENATE(B4,C4,D4,E4,F4,G4,H4,I4,J4,K4,L4,M4,N4,O4,P4,Q4,R4,S4,T4,U4,V4,W4,X4,Y4,Z4,AA4,AB4,AC4,AD4,AE4,AF4,AG4,AH4,AI4,AJ4,AK4,AL4,AM4,AN4,AO4,AP4,AQ4,AR4,AS4,AT4,AU4,AV4,AW4,AX4,AY4,AZ4,BA4,BB4,BC4,BD4,BE4,BF4,BG4,BH4,BI4,BJ4,BK4,BL4,BM4,BN4)</f>
        <v xml:space="preserve">                                                                                                                                                                00000000000                    000000000000000000000000000 0000000000000000000000000000000000000000000                                                                    000000000                                                                      00000000000000000000   </v>
      </c>
      <c r="CR4" s="96" t="str">
        <f>CONCATENATE(BO4,BP4,BQ4,BR4,BS4,BT4,BU4,BV4,BW4,BX4,BY4,BZ4,CA4,CB4,CC4,CD4,CE4,CF4,CG4,CH4,CI4,CJ4,CK4,CL4,CM4,CN4)</f>
        <v>000000000000000000000000000000000000000000000000000000000000000000000000000000000000000000</v>
      </c>
      <c r="CS4" s="96" t="str">
        <f>descrittive_A!A67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T4" s="95" t="str">
        <f>descrittive_B!A59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U4" s="95" t="str">
        <f>descrittive_A!AH68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V4" s="95" t="str">
        <f>descrittive_B!AH60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" spans="1:100" ht="61.5" customHeight="1" x14ac:dyDescent="0.25">
      <c r="A5" s="79" t="str">
        <f>INSERIMENTO!B13</f>
        <v>Veicolo 4</v>
      </c>
      <c r="B5" s="242" t="str">
        <f>LEFT(CONCATENATE(INSERIMENTO!C13,M_SPAZI),B$12)</f>
        <v xml:space="preserve">  </v>
      </c>
      <c r="C5" s="242" t="str">
        <f>LEFT(CONCATENATE(INSERIMENTO!D13,M_SPAZI),C$12)</f>
        <v xml:space="preserve">                </v>
      </c>
      <c r="D5" s="531" t="str">
        <f>RIGHT(CONCATENATE(M_SPAZI,INSERIMENTO!E13),D$12)</f>
        <v xml:space="preserve">      </v>
      </c>
      <c r="E5" s="242" t="str">
        <f>LEFT(CONCATENATE(INSERIMENTO!F13,M_SPAZI),E$12)</f>
        <v xml:space="preserve">                                   </v>
      </c>
      <c r="F5" s="531" t="str">
        <f>RIGHT(CONCATENATE(M_SPAZI,INSERIMENTO!G13),F$12)</f>
        <v xml:space="preserve">        </v>
      </c>
      <c r="G5" s="531" t="str">
        <f>RIGHT(CONCATENATE(M_SPAZI,INSERIMENTO!H13),G$12)</f>
        <v xml:space="preserve">      </v>
      </c>
      <c r="H5" s="242" t="str">
        <f>LEFT(CONCATENATE(INSERIMENTO!I13,M_SPAZI),H$12)</f>
        <v xml:space="preserve">  </v>
      </c>
      <c r="I5" s="242" t="str">
        <f>LEFT(CONCATENATE(INSERIMENTO!J13,M_SPAZI),I$12)</f>
        <v xml:space="preserve"> </v>
      </c>
      <c r="J5" s="242" t="str">
        <f>LEFT(CONCATENATE(INSERIMENTO!K13,M_SPAZI),J$12)</f>
        <v xml:space="preserve"> </v>
      </c>
      <c r="K5" s="242" t="str">
        <f>LEFT(CONCATENATE(INSERIMENTO!L13,M_SPAZI),K$12)</f>
        <v xml:space="preserve"> </v>
      </c>
      <c r="L5" s="242" t="str">
        <f>LEFT(CONCATENATE(INSERIMENTO!M13,M_SPAZI),L$12)</f>
        <v xml:space="preserve"> </v>
      </c>
      <c r="M5" s="242" t="str">
        <f>LEFT(CONCATENATE(INSERIMENTO!N13,M_SPAZI),M$12)</f>
        <v xml:space="preserve"> </v>
      </c>
      <c r="N5" s="242" t="str">
        <f>LEFT(CONCATENATE(INSERIMENTO!O13,M_SPAZI),N$12)</f>
        <v xml:space="preserve">                                        </v>
      </c>
      <c r="O5" s="242" t="str">
        <f>LEFT(CONCATENATE(INSERIMENTO!P13,M_SPAZI),O$12)</f>
        <v xml:space="preserve"> </v>
      </c>
      <c r="P5" s="242" t="str">
        <f>LEFT(CONCATENATE(INSERIMENTO!Q13,M_SPAZI),P$12)</f>
        <v xml:space="preserve">                                   </v>
      </c>
      <c r="Q5" s="242" t="str">
        <f>LEFT(CONCATENATE(INSERIMENTO!R13,M_SPAZI),Q$12)</f>
        <v xml:space="preserve">   </v>
      </c>
      <c r="R5" s="242" t="str">
        <f>LEFT(CONCATENATE(INSERIMENTO!S13,M_SPAZI),R$12)</f>
        <v xml:space="preserve"> </v>
      </c>
      <c r="S5" s="239" t="str">
        <f>RIGHT(CONCATENATE(M_ZERI,SUBSTITUTE(INSERIMENTO!T13," ","0")),S$12)</f>
        <v>00</v>
      </c>
      <c r="T5" s="239" t="str">
        <f>RIGHT(CONCATENATE(M_ZERI,SUBSTITUTE(INSERIMENTO!U13," ","0")),T$12)</f>
        <v>00000</v>
      </c>
      <c r="U5" s="239" t="str">
        <f>RIGHT(CONCATENATE(M_ZERI,SUBSTITUTE(INSERIMENTO!V13," ","0")),U$12)</f>
        <v>0000</v>
      </c>
      <c r="V5" s="136" t="str">
        <f>LEFT(CONCATENATE(INSERIMENTO!W13,M_SPAZI),V$12)</f>
        <v xml:space="preserve">                    </v>
      </c>
      <c r="W5" s="238" t="str">
        <f>RIGHT(CONCATENATE(M_ZERI,SUBSTITUTE(INSERIMENTO!X13," ","0")),W$12)</f>
        <v>000</v>
      </c>
      <c r="X5" s="238" t="str">
        <f>RIGHT(CONCATENATE(M_ZERI,SUBSTITUTE(INSERIMENTO!Y13," ","0")),X$12)</f>
        <v>0000</v>
      </c>
      <c r="Y5" s="239" t="str">
        <f>RIGHT(CONCATENATE(M_ZERI,SUBSTITUTE(INSERIMENTO!Z13," ","0")),Y$12)</f>
        <v>00000</v>
      </c>
      <c r="Z5" s="238" t="str">
        <f>RIGHT(CONCATENATE(M_ZERI,SUBSTITUTE(INSERIMENTO!AA13," ","0")),Z$12)</f>
        <v>0000</v>
      </c>
      <c r="AA5" s="238" t="str">
        <f>RIGHT(CONCATENATE(M_ZERI,SUBSTITUTE(INSERIMENTO!AB13," ","0")),AA$12)</f>
        <v>0000</v>
      </c>
      <c r="AB5" s="238" t="str">
        <f>RIGHT(CONCATENATE(M_ZERI,SUBSTITUTE(INSERIMENTO!AC13," ","0")),AB$12)</f>
        <v>0000</v>
      </c>
      <c r="AC5" s="238" t="str">
        <f>RIGHT(CONCATENATE(M_ZERI,SUBSTITUTE(INSERIMENTO!AD13," ","0")),AC$12)</f>
        <v>000</v>
      </c>
      <c r="AD5" s="136" t="str">
        <f>LEFT(CONCATENATE(INSERIMENTO!AE13,M_SPAZI),AD$12)</f>
        <v xml:space="preserve"> </v>
      </c>
      <c r="AE5" s="238" t="str">
        <f>RIGHT(CONCATENATE(M_ZERI,SUBSTITUTE(INSERIMENTO!AF13," ","0")),AE$12)</f>
        <v>0000</v>
      </c>
      <c r="AF5" s="238" t="str">
        <f>RIGHT(CONCATENATE(M_ZERI,SUBSTITUTE(INSERIMENTO!AG13," ","0")),AF$12)</f>
        <v>0000</v>
      </c>
      <c r="AG5" s="238" t="str">
        <f>RIGHT(CONCATENATE(M_ZERI,SUBSTITUTE(INSERIMENTO!AH13," ","0")),AG$12)</f>
        <v>0000</v>
      </c>
      <c r="AH5" s="238" t="str">
        <f>RIGHT(CONCATENATE(M_ZERI,SUBSTITUTE(INSERIMENTO!AI13," ","0")),AH$12)</f>
        <v>00</v>
      </c>
      <c r="AI5" s="238" t="str">
        <f>RIGHT(CONCATENATE(M_ZERI,SUBSTITUTE(INSERIMENTO!AJ13," ","0")),AI$12)</f>
        <v>00000</v>
      </c>
      <c r="AJ5" s="238" t="str">
        <f>RIGHT(CONCATENATE(M_ZERI,SUBSTITUTE(INSERIMENTO!AK13," ","0")),AJ$12)</f>
        <v>000000</v>
      </c>
      <c r="AK5" s="238" t="str">
        <f>RIGHT(CONCATENATE(M_ZERI,SUBSTITUTE(INSERIMENTO!AL13," ","0")),AK$12)</f>
        <v>000000</v>
      </c>
      <c r="AL5" s="238" t="str">
        <f>RIGHT(CONCATENATE(M_ZERI,SUBSTITUTE(INSERIMENTO!AM13," ","0")),AL$12)</f>
        <v>00000</v>
      </c>
      <c r="AM5" s="238" t="str">
        <f>RIGHT(CONCATENATE(M_ZERI,SUBSTITUTE(INSERIMENTO!AN13," ","0")),AM$12)</f>
        <v>0</v>
      </c>
      <c r="AN5" s="238" t="str">
        <f>RIGHT(CONCATENATE(M_ZERI,SUBSTITUTE(INSERIMENTO!AO13," ","0")),AN$12)</f>
        <v>00000</v>
      </c>
      <c r="AO5" s="238" t="str">
        <f>RIGHT(CONCATENATE(M_ZERI,SUBSTITUTE(INSERIMENTO!AP13," ","0")),AO$12)</f>
        <v>0</v>
      </c>
      <c r="AP5" s="136" t="str">
        <f>LEFT(CONCATENATE(INSERIMENTO!AQ13,M_SPAZI),AP$12)</f>
        <v xml:space="preserve"> </v>
      </c>
      <c r="AQ5" s="136" t="str">
        <f>LEFT(CONCATENATE(INSERIMENTO!AR13,M_SPAZI),AQ$12)</f>
        <v xml:space="preserve">                                                                 </v>
      </c>
      <c r="AR5" s="136" t="str">
        <f>LEFT(CONCATENATE(INSERIMENTO!AS13,M_SPAZI),AR$12)</f>
        <v xml:space="preserve"> </v>
      </c>
      <c r="AS5" s="242" t="str">
        <f>LEFT(CONCATENATE(INSERIMENTO!AT13,M_SPAZI),AS$12)</f>
        <v xml:space="preserve"> </v>
      </c>
      <c r="AT5" s="238" t="str">
        <f>RIGHT(CONCATENATE(M_ZERI,SUBSTITUTE(INSERIMENTO!AU13," ","0")),AT$12)</f>
        <v>000</v>
      </c>
      <c r="AU5" s="238" t="str">
        <f>RIGHT(CONCATENATE(M_ZERI,SUBSTITUTE(INSERIMENTO!AV13," ","0")),AU$12)</f>
        <v>000</v>
      </c>
      <c r="AV5" s="238" t="str">
        <f>RIGHT(CONCATENATE(M_ZERI,SUBSTITUTE(INSERIMENTO!AW13," ","0")),AV$12)</f>
        <v>000</v>
      </c>
      <c r="AW5" s="242" t="str">
        <f>LEFT(CONCATENATE(INSERIMENTO!AX13,M_SPAZI),AW$12)</f>
        <v xml:space="preserve">  </v>
      </c>
      <c r="AX5" s="242" t="str">
        <f>LEFT(CONCATENATE(INSERIMENTO!AY13,M_SPAZI),AX$12)</f>
        <v xml:space="preserve">                                                     </v>
      </c>
      <c r="AY5" s="242" t="str">
        <f>LEFT(CONCATENATE(INSERIMENTO!AZ13,M_SPAZI),AY$12)</f>
        <v xml:space="preserve"> </v>
      </c>
      <c r="AZ5" s="242" t="str">
        <f>LEFT(CONCATENATE(INSERIMENTO!BA13,M_SPAZI),AZ$12)</f>
        <v xml:space="preserve"> </v>
      </c>
      <c r="BA5" s="242" t="str">
        <f>LEFT(CONCATENATE(INSERIMENTO!BB13,M_SPAZI),BA$12)</f>
        <v xml:space="preserve"> </v>
      </c>
      <c r="BB5" s="242" t="str">
        <f>LEFT(CONCATENATE(INSERIMENTO!BC13,M_SPAZI),BB$12)</f>
        <v xml:space="preserve"> </v>
      </c>
      <c r="BC5" s="242" t="str">
        <f>LEFT(CONCATENATE(INSERIMENTO!BD13,M_SPAZI),BC$12)</f>
        <v xml:space="preserve"> </v>
      </c>
      <c r="BD5" s="242" t="str">
        <f>LEFT(CONCATENATE(INSERIMENTO!BE13,M_SPAZI),BD$12)</f>
        <v xml:space="preserve">  </v>
      </c>
      <c r="BE5" s="242" t="str">
        <f>LEFT(CONCATENATE(INSERIMENTO!BF13,M_SPAZI),BE$12)</f>
        <v xml:space="preserve">  </v>
      </c>
      <c r="BF5" s="242" t="str">
        <f>LEFT(CONCATENATE(INSERIMENTO!BG13,M_SPAZI),BF$12)</f>
        <v xml:space="preserve">  </v>
      </c>
      <c r="BG5" s="242" t="str">
        <f>LEFT(CONCATENATE(INSERIMENTO!BH13,M_SPAZI),BG$12)</f>
        <v xml:space="preserve">  </v>
      </c>
      <c r="BH5" s="242" t="str">
        <f>LEFT(CONCATENATE(INSERIMENTO!BI13,M_SPAZI),BH$12)</f>
        <v xml:space="preserve">  </v>
      </c>
      <c r="BI5" s="239" t="str">
        <f>RIGHT(CONCATENATE(M_ZERI,SUBSTITUTE(INSERIMENTO!BJ13," ","0")),BI$12)</f>
        <v>00000</v>
      </c>
      <c r="BJ5" s="239" t="str">
        <f>RIGHT(CONCATENATE(M_ZERI,SUBSTITUTE(INSERIMENTO!BK13," ","0")),BJ$12)</f>
        <v>0000</v>
      </c>
      <c r="BK5" s="238" t="str">
        <f>RIGHT(CONCATENATE(M_ZERI,SUBSTITUTE(INSERIMENTO!BL13," ","0")),BK$12)</f>
        <v>0000</v>
      </c>
      <c r="BL5" s="238" t="str">
        <f>RIGHT(CONCATENATE(M_ZERI,SUBSTITUTE(INSERIMENTO!BM13," ","0")),BL$12)</f>
        <v>0000</v>
      </c>
      <c r="BM5" s="238" t="str">
        <f>RIGHT(CONCATENATE(M_ZERI,SUBSTITUTE(INSERIMENTO!BN13," ","0")),BM$12)</f>
        <v>000</v>
      </c>
      <c r="BN5" s="340" t="str">
        <f>LEFT(CONCATENATE(INSERIMENTO!BO13,M_SPAZI),BN$12)</f>
        <v xml:space="preserve">   </v>
      </c>
      <c r="BO5" s="335" t="str">
        <f>RIGHT(CONCATENATE(M_ZERI,SUBSTITUTE(INSERIMENTO!BP13," ","0")),BO$12)</f>
        <v>000</v>
      </c>
      <c r="BP5" s="238" t="str">
        <f>RIGHT(CONCATENATE(M_ZERI,SUBSTITUTE(INSERIMENTO!BQ13," ","0")),BP$12)</f>
        <v>000</v>
      </c>
      <c r="BQ5" s="238" t="str">
        <f>RIGHT(CONCATENATE(M_ZERI,SUBSTITUTE(INSERIMENTO!BR13," ","0")),BQ$12)</f>
        <v>000</v>
      </c>
      <c r="BR5" s="239" t="str">
        <f>RIGHT(CONCATENATE(M_ZERI,SUBSTITUTE(INSERIMENTO!BS13," ","0")),BR$12)</f>
        <v>000</v>
      </c>
      <c r="BS5" s="239" t="str">
        <f>RIGHT(CONCATENATE(M_ZERI,SUBSTITUTE(INSERIMENTO!BT13," ","0")),BS$12)</f>
        <v>000</v>
      </c>
      <c r="BT5" s="239" t="str">
        <f>RIGHT(CONCATENATE(M_ZERI,SUBSTITUTE(INSERIMENTO!BU13," ","0")),BT$12)</f>
        <v>000</v>
      </c>
      <c r="BU5" s="239" t="str">
        <f>RIGHT(CONCATENATE(M_ZERI,SUBSTITUTE(INSERIMENTO!BV13," ","0")),BU$12)</f>
        <v>0000</v>
      </c>
      <c r="BV5" s="239" t="str">
        <f>RIGHT(CONCATENATE(M_ZERI,SUBSTITUTE(INSERIMENTO!BW13," ","0")),BV$12)</f>
        <v>0000</v>
      </c>
      <c r="BW5" s="239" t="str">
        <f>RIGHT(CONCATENATE(M_ZERI,SUBSTITUTE(INSERIMENTO!BX13," ","0")),BW$12)</f>
        <v>000</v>
      </c>
      <c r="BX5" s="239" t="str">
        <f>RIGHT(CONCATENATE(M_ZERI,SUBSTITUTE(INSERIMENTO!BY13," ","0")),BX$12)</f>
        <v>000</v>
      </c>
      <c r="BY5" s="239" t="str">
        <f>RIGHT(CONCATENATE(M_ZERI,SUBSTITUTE(INSERIMENTO!BZ13," ","0")),BY$12)</f>
        <v>000</v>
      </c>
      <c r="BZ5" s="239" t="str">
        <f>RIGHT(CONCATENATE(M_ZERI,SUBSTITUTE(INSERIMENTO!CA13," ","0")),BZ$12)</f>
        <v>00</v>
      </c>
      <c r="CA5" s="239" t="str">
        <f>RIGHT(CONCATENATE(M_ZERI,SUBSTITUTE(INSERIMENTO!CB13," ","0")),CA$12)</f>
        <v>000</v>
      </c>
      <c r="CB5" s="239" t="str">
        <f>RIGHT(CONCATENATE(M_ZERI,SUBSTITUTE(INSERIMENTO!CC13," ","0")),CB$12)</f>
        <v>00000</v>
      </c>
      <c r="CC5" s="239" t="str">
        <f>RIGHT(CONCATENATE(M_ZERI,SUBSTITUTE(INSERIMENTO!CD13," ","0")),CC$12)</f>
        <v>000</v>
      </c>
      <c r="CD5" s="239" t="str">
        <f>RIGHT(CONCATENATE(M_ZERI,SUBSTITUTE(INSERIMENTO!CE13," ","0")),CD$12)</f>
        <v>00</v>
      </c>
      <c r="CE5" s="239" t="str">
        <f>RIGHT(CONCATENATE(M_ZERI,SUBSTITUTE(INSERIMENTO!CF13," ","0")),CE$12)</f>
        <v>000000</v>
      </c>
      <c r="CF5" s="239" t="str">
        <f>RIGHT(CONCATENATE(M_ZERI,SUBSTITUTE(INSERIMENTO!CG13," ","0")),CF$12)</f>
        <v>000000</v>
      </c>
      <c r="CG5" s="239" t="str">
        <f>RIGHT(CONCATENATE(M_ZERI,SUBSTITUTE(INSERIMENTO!CH13," ","0")),CG$12)</f>
        <v>000000</v>
      </c>
      <c r="CH5" s="239" t="str">
        <f>RIGHT(CONCATENATE(M_ZERI,SUBSTITUTE(INSERIMENTO!CI13," ","0")),CH$12)</f>
        <v>000</v>
      </c>
      <c r="CI5" s="239" t="str">
        <f>RIGHT(CONCATENATE(M_ZERI,SUBSTITUTE(INSERIMENTO!CJ13," ","0")),CI$12)</f>
        <v>000</v>
      </c>
      <c r="CJ5" s="239" t="str">
        <f>RIGHT(CONCATENATE(M_ZERI,SUBSTITUTE(INSERIMENTO!CK13," ","0")),CJ$12)</f>
        <v>000000</v>
      </c>
      <c r="CK5" s="239" t="str">
        <f>RIGHT(CONCATENATE(M_ZERI,SUBSTITUTE(INSERIMENTO!CL13," ","0")),CK$12)</f>
        <v>000</v>
      </c>
      <c r="CL5" s="239" t="str">
        <f>RIGHT(CONCATENATE(M_ZERI,SUBSTITUTE(INSERIMENTO!CM13," ","0")),CL$12)</f>
        <v>00</v>
      </c>
      <c r="CM5" s="239" t="str">
        <f>RIGHT(CONCATENATE(M_ZERI,SUBSTITUTE(INSERIMENTO!CN13," ","0")),CM$12)</f>
        <v>000</v>
      </c>
      <c r="CN5" s="239" t="str">
        <f>RIGHT(CONCATENATE(M_ZERI,SUBSTITUTE(INSERIMENTO!CO13," ","0")),CN$12)</f>
        <v>00</v>
      </c>
      <c r="CO5" s="246" t="str">
        <f>LEFT(CONCATENATE(INSERIMENTO!CP13,M_SPAZI),CO$12)</f>
        <v xml:space="preserve">                                                                 </v>
      </c>
      <c r="CP5" s="246" t="str">
        <f>LEFT(CONCATENATE(INSERIMENTO!CQ13,M_SPAZI),CP$12)</f>
        <v xml:space="preserve">                                                                 </v>
      </c>
      <c r="CQ5" s="92" t="str">
        <f>CONCATENATE(B5,C5,D5,E5,F5,G5,H5,I5,J5,K5,L5,M5,N5,O5,P5,Q5,R5,S5,T5,U5,V5,W5,X5,Y5,Z5,AA5,AB5,AC5,AD5,AE5,AF5,AG5,AH5,AI5,AJ5,AK5,AL5,AM5,AN5,AO5,AP5,AQ5,AR5,AS5,AT5,AU5,AV5,AW5,AX5,AY5,AZ5,BA5,BB5,BC5,BD5,BE5,BF5,BG5,BH5,BI5,BJ5,BK5,BL5,BM5,BN5)</f>
        <v xml:space="preserve">                                                                                                                                                                00000000000                    000000000000000000000000000 0000000000000000000000000000000000000000000                                                                    000000000                                                                      00000000000000000000   </v>
      </c>
      <c r="CR5" s="97" t="str">
        <f>CONCATENATE(BO5,BP5,BQ5,BR5,BS5,BT5,BU5,BV5,BW5,BX5,BY5,BZ5,CA5,CB5,CC5,CD5,CE5,CF5,CG5,CH5,CI5,CJ5,CK5,CL5,CM5,CN5)</f>
        <v>000000000000000000000000000000000000000000000000000000000000000000000000000000000000000000</v>
      </c>
      <c r="CS5" s="97" t="str">
        <f>descrittive_A!A91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T5" s="97" t="str">
        <f>descrittive_B!A79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U5" s="97" t="str">
        <f>descrittive_A!AH92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V5" s="97" t="str">
        <f>descrittive_B!AH80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6" spans="1:100" x14ac:dyDescent="0.25">
      <c r="H6" s="607" t="s">
        <v>760</v>
      </c>
      <c r="I6" s="105">
        <f>VLOOKUP(I2,ELENCHI!$L$23:$N$47,3,FALSE)</f>
        <v>1</v>
      </c>
      <c r="J6" s="105">
        <f>VLOOKUP(J2,ELENCHI!$L$23:$N$47,3,FALSE)</f>
        <v>1</v>
      </c>
      <c r="K6" s="105">
        <f>VLOOKUP(K2,ELENCHI!$L$23:$N$47,3,FALSE)</f>
        <v>2</v>
      </c>
      <c r="L6" s="105">
        <f>VLOOKUP(L2,ELENCHI!$L$23:$N$47,3,FALSE)</f>
        <v>0</v>
      </c>
      <c r="M6" s="105">
        <f>VLOOKUP(M2,ELENCHI!$L$23:$N$47,3,FALSE)</f>
        <v>0</v>
      </c>
    </row>
    <row r="7" spans="1:100" x14ac:dyDescent="0.25">
      <c r="H7" s="607"/>
      <c r="I7" s="105">
        <f>VLOOKUP(I3,ELENCHI!$L$23:$N$47,3,FALSE)</f>
        <v>0</v>
      </c>
      <c r="J7" s="105">
        <f>VLOOKUP(J3,ELENCHI!$L$23:$N$47,3,FALSE)</f>
        <v>0</v>
      </c>
      <c r="K7" s="105">
        <f>VLOOKUP(K3,ELENCHI!$L$23:$N$47,3,FALSE)</f>
        <v>0</v>
      </c>
      <c r="L7" s="105">
        <f>VLOOKUP(L3,ELENCHI!$L$23:$N$47,3,FALSE)</f>
        <v>0</v>
      </c>
      <c r="M7" s="105">
        <f>VLOOKUP(M3,ELENCHI!$L$23:$N$47,3,FALSE)</f>
        <v>0</v>
      </c>
    </row>
    <row r="8" spans="1:100" x14ac:dyDescent="0.25">
      <c r="H8" s="607"/>
      <c r="I8" s="105">
        <f>VLOOKUP(I4,ELENCHI!$L$23:$N$47,3,FALSE)</f>
        <v>0</v>
      </c>
      <c r="J8" s="105">
        <f>VLOOKUP(J4,ELENCHI!$L$23:$N$47,3,FALSE)</f>
        <v>0</v>
      </c>
      <c r="K8" s="105">
        <f>VLOOKUP(K4,ELENCHI!$L$23:$N$47,3,FALSE)</f>
        <v>0</v>
      </c>
      <c r="L8" s="105">
        <f>VLOOKUP(L4,ELENCHI!$L$23:$N$47,3,FALSE)</f>
        <v>0</v>
      </c>
      <c r="M8" s="105">
        <f>VLOOKUP(M4,ELENCHI!$L$23:$N$47,3,FALSE)</f>
        <v>0</v>
      </c>
    </row>
    <row r="9" spans="1:100" x14ac:dyDescent="0.25">
      <c r="H9" s="607"/>
      <c r="I9" s="105">
        <f>VLOOKUP(I5,ELENCHI!$L$23:$N$47,3,FALSE)</f>
        <v>0</v>
      </c>
      <c r="J9" s="105">
        <f>VLOOKUP(J5,ELENCHI!$L$23:$N$47,3,FALSE)</f>
        <v>0</v>
      </c>
      <c r="K9" s="105">
        <f>VLOOKUP(K5,ELENCHI!$L$23:$N$47,3,FALSE)</f>
        <v>0</v>
      </c>
      <c r="L9" s="105">
        <f>VLOOKUP(L5,ELENCHI!$L$23:$N$47,3,FALSE)</f>
        <v>0</v>
      </c>
      <c r="M9" s="105">
        <f>VLOOKUP(M5,ELENCHI!$L$23:$N$47,3,FALSE)</f>
        <v>0</v>
      </c>
    </row>
    <row r="11" spans="1:100" s="51" customFormat="1" x14ac:dyDescent="0.25">
      <c r="A11" s="53" t="s">
        <v>761</v>
      </c>
      <c r="B11" s="48">
        <v>2</v>
      </c>
      <c r="C11" s="48">
        <v>16</v>
      </c>
      <c r="D11" s="48">
        <v>6</v>
      </c>
      <c r="E11" s="48">
        <v>35</v>
      </c>
      <c r="F11" s="48">
        <v>8</v>
      </c>
      <c r="G11" s="48">
        <v>6</v>
      </c>
      <c r="H11" s="48">
        <v>2</v>
      </c>
      <c r="I11" s="48">
        <v>1</v>
      </c>
      <c r="J11" s="48">
        <v>1</v>
      </c>
      <c r="K11" s="48">
        <v>1</v>
      </c>
      <c r="L11" s="48">
        <v>1</v>
      </c>
      <c r="M11" s="48">
        <v>1</v>
      </c>
      <c r="N11" s="48">
        <v>40</v>
      </c>
      <c r="O11" s="48">
        <v>1</v>
      </c>
      <c r="P11" s="48">
        <v>35</v>
      </c>
      <c r="Q11" s="48">
        <v>3</v>
      </c>
      <c r="R11" s="48">
        <v>1</v>
      </c>
      <c r="S11" s="48">
        <v>2</v>
      </c>
      <c r="T11" s="155">
        <v>5</v>
      </c>
      <c r="U11" s="155">
        <v>4</v>
      </c>
      <c r="V11" s="48">
        <v>20</v>
      </c>
      <c r="W11" s="48">
        <v>3</v>
      </c>
      <c r="X11" s="48">
        <v>4</v>
      </c>
      <c r="Y11" s="48">
        <v>5</v>
      </c>
      <c r="Z11" s="48">
        <v>4</v>
      </c>
      <c r="AA11" s="48">
        <v>4</v>
      </c>
      <c r="AB11" s="48">
        <v>4</v>
      </c>
      <c r="AC11" s="157">
        <v>3</v>
      </c>
      <c r="AD11" s="48">
        <v>1</v>
      </c>
      <c r="AE11" s="48">
        <v>4</v>
      </c>
      <c r="AF11" s="48">
        <v>4</v>
      </c>
      <c r="AG11" s="48">
        <v>4</v>
      </c>
      <c r="AH11" s="48">
        <v>2</v>
      </c>
      <c r="AI11" s="48">
        <v>5</v>
      </c>
      <c r="AJ11" s="48">
        <v>6</v>
      </c>
      <c r="AK11" s="48">
        <v>6</v>
      </c>
      <c r="AL11" s="48">
        <v>5</v>
      </c>
      <c r="AM11" s="48">
        <v>1</v>
      </c>
      <c r="AN11" s="48">
        <v>5</v>
      </c>
      <c r="AO11" s="48">
        <v>1</v>
      </c>
      <c r="AP11" s="48">
        <v>1</v>
      </c>
      <c r="AQ11" s="48">
        <v>65</v>
      </c>
      <c r="AR11" s="48">
        <v>1</v>
      </c>
      <c r="AS11" s="48">
        <v>1</v>
      </c>
      <c r="AT11" s="48">
        <v>3</v>
      </c>
      <c r="AU11" s="48">
        <v>3</v>
      </c>
      <c r="AV11" s="48">
        <v>3</v>
      </c>
      <c r="AW11" s="48">
        <v>2</v>
      </c>
      <c r="AX11" s="48">
        <v>53</v>
      </c>
      <c r="AY11" s="48">
        <v>1</v>
      </c>
      <c r="AZ11" s="48">
        <v>1</v>
      </c>
      <c r="BA11" s="48">
        <v>1</v>
      </c>
      <c r="BB11" s="48">
        <v>1</v>
      </c>
      <c r="BC11" s="48">
        <v>1</v>
      </c>
      <c r="BD11" s="48">
        <v>2</v>
      </c>
      <c r="BE11" s="48">
        <v>2</v>
      </c>
      <c r="BF11" s="48">
        <v>2</v>
      </c>
      <c r="BG11" s="48">
        <v>2</v>
      </c>
      <c r="BH11" s="48">
        <v>2</v>
      </c>
      <c r="BI11" s="48">
        <v>5</v>
      </c>
      <c r="BJ11" s="48">
        <v>4</v>
      </c>
      <c r="BK11" s="48">
        <v>4</v>
      </c>
      <c r="BL11" s="48">
        <v>4</v>
      </c>
      <c r="BM11" s="48">
        <v>3</v>
      </c>
      <c r="BN11" s="48">
        <v>3</v>
      </c>
      <c r="BO11" s="155">
        <v>3</v>
      </c>
      <c r="BP11" s="48">
        <v>3</v>
      </c>
      <c r="BQ11" s="48">
        <v>3</v>
      </c>
      <c r="BR11" s="48">
        <v>3</v>
      </c>
      <c r="BS11" s="48">
        <v>3</v>
      </c>
      <c r="BT11" s="48">
        <v>3</v>
      </c>
      <c r="BU11" s="48">
        <v>4</v>
      </c>
      <c r="BV11" s="48">
        <v>4</v>
      </c>
      <c r="BW11" s="48">
        <v>3</v>
      </c>
      <c r="BX11" s="48">
        <v>3</v>
      </c>
      <c r="BY11" s="48">
        <v>3</v>
      </c>
      <c r="BZ11" s="158">
        <v>2</v>
      </c>
      <c r="CA11" s="158">
        <v>3</v>
      </c>
      <c r="CB11" s="158">
        <v>5</v>
      </c>
      <c r="CC11" s="158">
        <v>3</v>
      </c>
      <c r="CD11" s="158">
        <v>2</v>
      </c>
      <c r="CE11" s="158">
        <v>6</v>
      </c>
      <c r="CF11" s="158">
        <v>6</v>
      </c>
      <c r="CG11" s="158">
        <v>6</v>
      </c>
      <c r="CH11" s="158">
        <v>3</v>
      </c>
      <c r="CI11" s="158">
        <v>3</v>
      </c>
      <c r="CJ11" s="158">
        <v>6</v>
      </c>
      <c r="CK11" s="158">
        <v>3</v>
      </c>
      <c r="CL11" s="158">
        <v>2</v>
      </c>
      <c r="CM11" s="158">
        <v>3</v>
      </c>
      <c r="CN11" s="158">
        <v>2</v>
      </c>
      <c r="CO11" s="158">
        <v>53</v>
      </c>
      <c r="CP11" s="158">
        <v>53</v>
      </c>
    </row>
    <row r="12" spans="1:100" s="51" customFormat="1" ht="30" x14ac:dyDescent="0.25">
      <c r="A12" s="53" t="s">
        <v>762</v>
      </c>
      <c r="B12" s="49">
        <f t="shared" ref="B12:AK12" si="0">B11</f>
        <v>2</v>
      </c>
      <c r="C12" s="49">
        <f t="shared" si="0"/>
        <v>16</v>
      </c>
      <c r="D12" s="49">
        <f t="shared" si="0"/>
        <v>6</v>
      </c>
      <c r="E12" s="49">
        <f t="shared" si="0"/>
        <v>35</v>
      </c>
      <c r="F12" s="49">
        <f t="shared" si="0"/>
        <v>8</v>
      </c>
      <c r="G12" s="49">
        <f t="shared" si="0"/>
        <v>6</v>
      </c>
      <c r="H12" s="49">
        <f t="shared" si="0"/>
        <v>2</v>
      </c>
      <c r="I12" s="49">
        <f t="shared" si="0"/>
        <v>1</v>
      </c>
      <c r="J12" s="49">
        <f t="shared" si="0"/>
        <v>1</v>
      </c>
      <c r="K12" s="49">
        <f t="shared" si="0"/>
        <v>1</v>
      </c>
      <c r="L12" s="49">
        <f t="shared" si="0"/>
        <v>1</v>
      </c>
      <c r="M12" s="49">
        <f t="shared" si="0"/>
        <v>1</v>
      </c>
      <c r="N12" s="49">
        <f t="shared" si="0"/>
        <v>40</v>
      </c>
      <c r="O12" s="49">
        <f t="shared" si="0"/>
        <v>1</v>
      </c>
      <c r="P12" s="49">
        <f t="shared" si="0"/>
        <v>35</v>
      </c>
      <c r="Q12" s="49">
        <f t="shared" si="0"/>
        <v>3</v>
      </c>
      <c r="R12" s="49">
        <f t="shared" si="0"/>
        <v>1</v>
      </c>
      <c r="S12" s="49">
        <f t="shared" si="0"/>
        <v>2</v>
      </c>
      <c r="T12" s="49">
        <f t="shared" si="0"/>
        <v>5</v>
      </c>
      <c r="U12" s="49">
        <f t="shared" si="0"/>
        <v>4</v>
      </c>
      <c r="V12" s="49">
        <f t="shared" si="0"/>
        <v>20</v>
      </c>
      <c r="W12" s="49">
        <f t="shared" si="0"/>
        <v>3</v>
      </c>
      <c r="X12" s="49">
        <f t="shared" si="0"/>
        <v>4</v>
      </c>
      <c r="Y12" s="49">
        <f t="shared" si="0"/>
        <v>5</v>
      </c>
      <c r="Z12" s="49">
        <f t="shared" si="0"/>
        <v>4</v>
      </c>
      <c r="AA12" s="49">
        <f t="shared" si="0"/>
        <v>4</v>
      </c>
      <c r="AB12" s="49">
        <f t="shared" si="0"/>
        <v>4</v>
      </c>
      <c r="AC12" s="49">
        <f t="shared" si="0"/>
        <v>3</v>
      </c>
      <c r="AD12" s="49">
        <f t="shared" si="0"/>
        <v>1</v>
      </c>
      <c r="AE12" s="49">
        <f t="shared" si="0"/>
        <v>4</v>
      </c>
      <c r="AF12" s="49">
        <f t="shared" si="0"/>
        <v>4</v>
      </c>
      <c r="AG12" s="49">
        <f t="shared" si="0"/>
        <v>4</v>
      </c>
      <c r="AH12" s="49">
        <f t="shared" si="0"/>
        <v>2</v>
      </c>
      <c r="AI12" s="49">
        <f t="shared" si="0"/>
        <v>5</v>
      </c>
      <c r="AJ12" s="49">
        <f t="shared" si="0"/>
        <v>6</v>
      </c>
      <c r="AK12" s="49">
        <f t="shared" si="0"/>
        <v>6</v>
      </c>
      <c r="AL12" s="49">
        <f t="shared" ref="AL12:BQ12" si="1">AL11</f>
        <v>5</v>
      </c>
      <c r="AM12" s="49">
        <f t="shared" si="1"/>
        <v>1</v>
      </c>
      <c r="AN12" s="49">
        <f t="shared" si="1"/>
        <v>5</v>
      </c>
      <c r="AO12" s="49">
        <f t="shared" si="1"/>
        <v>1</v>
      </c>
      <c r="AP12" s="49">
        <f t="shared" si="1"/>
        <v>1</v>
      </c>
      <c r="AQ12" s="49">
        <f t="shared" si="1"/>
        <v>65</v>
      </c>
      <c r="AR12" s="49">
        <f t="shared" si="1"/>
        <v>1</v>
      </c>
      <c r="AS12" s="49">
        <f t="shared" si="1"/>
        <v>1</v>
      </c>
      <c r="AT12" s="49">
        <f t="shared" si="1"/>
        <v>3</v>
      </c>
      <c r="AU12" s="49">
        <f t="shared" si="1"/>
        <v>3</v>
      </c>
      <c r="AV12" s="49">
        <f t="shared" si="1"/>
        <v>3</v>
      </c>
      <c r="AW12" s="49">
        <f t="shared" si="1"/>
        <v>2</v>
      </c>
      <c r="AX12" s="49">
        <f t="shared" si="1"/>
        <v>53</v>
      </c>
      <c r="AY12" s="49">
        <f t="shared" si="1"/>
        <v>1</v>
      </c>
      <c r="AZ12" s="49">
        <f t="shared" si="1"/>
        <v>1</v>
      </c>
      <c r="BA12" s="49">
        <f t="shared" si="1"/>
        <v>1</v>
      </c>
      <c r="BB12" s="49">
        <f t="shared" si="1"/>
        <v>1</v>
      </c>
      <c r="BC12" s="49">
        <f t="shared" si="1"/>
        <v>1</v>
      </c>
      <c r="BD12" s="49">
        <f t="shared" si="1"/>
        <v>2</v>
      </c>
      <c r="BE12" s="49">
        <f t="shared" si="1"/>
        <v>2</v>
      </c>
      <c r="BF12" s="49">
        <f t="shared" si="1"/>
        <v>2</v>
      </c>
      <c r="BG12" s="49">
        <f t="shared" si="1"/>
        <v>2</v>
      </c>
      <c r="BH12" s="49">
        <f t="shared" si="1"/>
        <v>2</v>
      </c>
      <c r="BI12" s="49">
        <f t="shared" si="1"/>
        <v>5</v>
      </c>
      <c r="BJ12" s="49">
        <f t="shared" si="1"/>
        <v>4</v>
      </c>
      <c r="BK12" s="49">
        <f t="shared" si="1"/>
        <v>4</v>
      </c>
      <c r="BL12" s="49">
        <f t="shared" si="1"/>
        <v>4</v>
      </c>
      <c r="BM12" s="49">
        <f t="shared" si="1"/>
        <v>3</v>
      </c>
      <c r="BN12" s="49">
        <f t="shared" si="1"/>
        <v>3</v>
      </c>
      <c r="BO12" s="49">
        <f t="shared" si="1"/>
        <v>3</v>
      </c>
      <c r="BP12" s="49">
        <f t="shared" si="1"/>
        <v>3</v>
      </c>
      <c r="BQ12" s="49">
        <f t="shared" si="1"/>
        <v>3</v>
      </c>
      <c r="BR12" s="49">
        <f t="shared" ref="BR12:CN12" si="2">BR11</f>
        <v>3</v>
      </c>
      <c r="BS12" s="49">
        <f t="shared" si="2"/>
        <v>3</v>
      </c>
      <c r="BT12" s="49">
        <f t="shared" si="2"/>
        <v>3</v>
      </c>
      <c r="BU12" s="49">
        <f t="shared" si="2"/>
        <v>4</v>
      </c>
      <c r="BV12" s="49">
        <f t="shared" si="2"/>
        <v>4</v>
      </c>
      <c r="BW12" s="49">
        <f t="shared" si="2"/>
        <v>3</v>
      </c>
      <c r="BX12" s="49">
        <f t="shared" si="2"/>
        <v>3</v>
      </c>
      <c r="BY12" s="49">
        <f t="shared" si="2"/>
        <v>3</v>
      </c>
      <c r="BZ12" s="159">
        <f t="shared" si="2"/>
        <v>2</v>
      </c>
      <c r="CA12" s="159">
        <f t="shared" si="2"/>
        <v>3</v>
      </c>
      <c r="CB12" s="159">
        <f t="shared" si="2"/>
        <v>5</v>
      </c>
      <c r="CC12" s="159">
        <f t="shared" si="2"/>
        <v>3</v>
      </c>
      <c r="CD12" s="159">
        <f t="shared" si="2"/>
        <v>2</v>
      </c>
      <c r="CE12" s="159">
        <f t="shared" si="2"/>
        <v>6</v>
      </c>
      <c r="CF12" s="159">
        <f t="shared" si="2"/>
        <v>6</v>
      </c>
      <c r="CG12" s="159">
        <f t="shared" si="2"/>
        <v>6</v>
      </c>
      <c r="CH12" s="159">
        <f t="shared" si="2"/>
        <v>3</v>
      </c>
      <c r="CI12" s="159">
        <f t="shared" si="2"/>
        <v>3</v>
      </c>
      <c r="CJ12" s="159">
        <f t="shared" si="2"/>
        <v>6</v>
      </c>
      <c r="CK12" s="159">
        <f t="shared" si="2"/>
        <v>3</v>
      </c>
      <c r="CL12" s="159">
        <f t="shared" si="2"/>
        <v>2</v>
      </c>
      <c r="CM12" s="159">
        <f t="shared" si="2"/>
        <v>3</v>
      </c>
      <c r="CN12" s="159">
        <f t="shared" si="2"/>
        <v>2</v>
      </c>
      <c r="CO12" s="159">
        <f>CO11*8</f>
        <v>424</v>
      </c>
      <c r="CP12" s="159">
        <f>CP11*8</f>
        <v>424</v>
      </c>
    </row>
    <row r="13" spans="1:100" s="51" customFormat="1" x14ac:dyDescent="0.25">
      <c r="A13" s="53" t="s">
        <v>763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156">
        <v>0</v>
      </c>
      <c r="U13" s="156">
        <v>1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2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1</v>
      </c>
      <c r="AV13" s="49">
        <v>1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>
        <v>0</v>
      </c>
      <c r="BJ13" s="49">
        <v>0</v>
      </c>
      <c r="BK13" s="49">
        <v>0</v>
      </c>
      <c r="BL13" s="49">
        <v>0</v>
      </c>
      <c r="BM13" s="156">
        <v>2</v>
      </c>
      <c r="BN13" s="49">
        <v>0</v>
      </c>
      <c r="BO13" s="156">
        <v>1</v>
      </c>
      <c r="BP13" s="49">
        <v>1</v>
      </c>
      <c r="BQ13" s="49">
        <v>1</v>
      </c>
      <c r="BR13" s="49">
        <v>1</v>
      </c>
      <c r="BS13" s="49">
        <v>1</v>
      </c>
      <c r="BT13" s="49">
        <v>1</v>
      </c>
      <c r="BU13" s="49">
        <v>2</v>
      </c>
      <c r="BV13" s="49">
        <v>2</v>
      </c>
      <c r="BW13" s="49">
        <v>1</v>
      </c>
      <c r="BX13" s="49">
        <v>1</v>
      </c>
      <c r="BY13" s="49">
        <v>1</v>
      </c>
      <c r="BZ13" s="160">
        <v>0</v>
      </c>
      <c r="CA13" s="160">
        <v>1</v>
      </c>
      <c r="CB13" s="160">
        <v>0</v>
      </c>
      <c r="CC13" s="160">
        <v>1</v>
      </c>
      <c r="CD13" s="160">
        <v>0</v>
      </c>
      <c r="CE13" s="160">
        <v>0</v>
      </c>
      <c r="CF13" s="160">
        <v>0</v>
      </c>
      <c r="CG13" s="160">
        <v>0</v>
      </c>
      <c r="CH13" s="160">
        <v>1</v>
      </c>
      <c r="CI13" s="160">
        <v>1</v>
      </c>
      <c r="CJ13" s="160">
        <v>0</v>
      </c>
      <c r="CK13" s="160">
        <v>1</v>
      </c>
      <c r="CL13" s="160">
        <v>0</v>
      </c>
      <c r="CM13" s="160">
        <v>1</v>
      </c>
      <c r="CN13" s="160">
        <v>0</v>
      </c>
      <c r="CO13" s="160">
        <v>0</v>
      </c>
      <c r="CP13" s="160">
        <v>0</v>
      </c>
    </row>
    <row r="14" spans="1:100" s="52" customFormat="1" ht="26.25" x14ac:dyDescent="0.25">
      <c r="A14" s="53" t="s">
        <v>764</v>
      </c>
      <c r="B14" s="50" t="s">
        <v>765</v>
      </c>
      <c r="C14" s="50" t="s">
        <v>765</v>
      </c>
      <c r="D14" s="50" t="s">
        <v>766</v>
      </c>
      <c r="E14" s="50" t="s">
        <v>766</v>
      </c>
      <c r="F14" s="50" t="s">
        <v>766</v>
      </c>
      <c r="G14" s="50" t="s">
        <v>766</v>
      </c>
      <c r="H14" s="50" t="s">
        <v>765</v>
      </c>
      <c r="I14" s="50" t="s">
        <v>765</v>
      </c>
      <c r="J14" s="50" t="s">
        <v>765</v>
      </c>
      <c r="K14" s="50" t="s">
        <v>765</v>
      </c>
      <c r="L14" s="50" t="s">
        <v>765</v>
      </c>
      <c r="M14" s="50" t="s">
        <v>765</v>
      </c>
      <c r="N14" s="50" t="s">
        <v>765</v>
      </c>
      <c r="O14" s="50" t="s">
        <v>765</v>
      </c>
      <c r="P14" s="50" t="s">
        <v>765</v>
      </c>
      <c r="Q14" s="50" t="s">
        <v>765</v>
      </c>
      <c r="R14" s="50" t="s">
        <v>765</v>
      </c>
      <c r="S14" s="50" t="s">
        <v>766</v>
      </c>
      <c r="T14" s="50" t="s">
        <v>767</v>
      </c>
      <c r="U14" s="50" t="s">
        <v>766</v>
      </c>
      <c r="V14" s="50" t="s">
        <v>765</v>
      </c>
      <c r="W14" s="50" t="s">
        <v>766</v>
      </c>
      <c r="X14" s="50" t="s">
        <v>766</v>
      </c>
      <c r="Y14" s="50" t="s">
        <v>767</v>
      </c>
      <c r="Z14" s="50" t="s">
        <v>766</v>
      </c>
      <c r="AA14" s="50" t="s">
        <v>766</v>
      </c>
      <c r="AB14" s="50" t="s">
        <v>766</v>
      </c>
      <c r="AC14" s="50" t="s">
        <v>766</v>
      </c>
      <c r="AD14" s="50" t="s">
        <v>765</v>
      </c>
      <c r="AE14" s="50" t="s">
        <v>766</v>
      </c>
      <c r="AF14" s="50" t="s">
        <v>766</v>
      </c>
      <c r="AG14" s="50" t="s">
        <v>766</v>
      </c>
      <c r="AH14" s="50" t="s">
        <v>766</v>
      </c>
      <c r="AI14" s="50" t="s">
        <v>766</v>
      </c>
      <c r="AJ14" s="50" t="s">
        <v>766</v>
      </c>
      <c r="AK14" s="50" t="s">
        <v>766</v>
      </c>
      <c r="AL14" s="50" t="s">
        <v>766</v>
      </c>
      <c r="AM14" s="50" t="s">
        <v>766</v>
      </c>
      <c r="AN14" s="50" t="s">
        <v>766</v>
      </c>
      <c r="AO14" s="50" t="s">
        <v>766</v>
      </c>
      <c r="AP14" s="50" t="s">
        <v>765</v>
      </c>
      <c r="AQ14" s="50" t="s">
        <v>766</v>
      </c>
      <c r="AR14" s="50" t="s">
        <v>766</v>
      </c>
      <c r="AS14" s="50" t="s">
        <v>767</v>
      </c>
      <c r="AT14" s="50" t="s">
        <v>765</v>
      </c>
      <c r="AU14" s="50" t="s">
        <v>765</v>
      </c>
      <c r="AV14" s="50" t="s">
        <v>765</v>
      </c>
      <c r="AW14" s="50" t="s">
        <v>767</v>
      </c>
      <c r="AX14" s="50" t="s">
        <v>766</v>
      </c>
      <c r="AY14" s="50" t="s">
        <v>766</v>
      </c>
      <c r="AZ14" s="50" t="s">
        <v>766</v>
      </c>
      <c r="BA14" s="50" t="s">
        <v>767</v>
      </c>
      <c r="BB14" s="50" t="s">
        <v>766</v>
      </c>
      <c r="BC14" s="50" t="s">
        <v>766</v>
      </c>
      <c r="BD14" s="50" t="s">
        <v>767</v>
      </c>
      <c r="BE14" s="50" t="s">
        <v>766</v>
      </c>
      <c r="BF14" s="50" t="s">
        <v>767</v>
      </c>
      <c r="BG14" s="50" t="s">
        <v>767</v>
      </c>
      <c r="BH14" s="50" t="s">
        <v>765</v>
      </c>
      <c r="BI14" s="50" t="s">
        <v>765</v>
      </c>
      <c r="BJ14" s="50"/>
      <c r="BK14" s="50" t="s">
        <v>766</v>
      </c>
      <c r="BL14" s="50" t="s">
        <v>766</v>
      </c>
      <c r="BM14" s="50" t="s">
        <v>766</v>
      </c>
      <c r="BN14" s="50" t="s">
        <v>765</v>
      </c>
      <c r="BO14" s="50" t="s">
        <v>766</v>
      </c>
      <c r="BP14" s="50" t="s">
        <v>766</v>
      </c>
      <c r="BQ14" s="50" t="s">
        <v>766</v>
      </c>
      <c r="BR14" s="50" t="s">
        <v>765</v>
      </c>
      <c r="BS14" s="50" t="s">
        <v>765</v>
      </c>
      <c r="BT14" s="50" t="s">
        <v>767</v>
      </c>
      <c r="BU14" s="50" t="s">
        <v>767</v>
      </c>
      <c r="BV14" s="50" t="s">
        <v>765</v>
      </c>
      <c r="BW14" s="50" t="s">
        <v>767</v>
      </c>
      <c r="BX14" s="50" t="s">
        <v>765</v>
      </c>
      <c r="BY14" s="50" t="s">
        <v>765</v>
      </c>
      <c r="BZ14" s="161" t="s">
        <v>766</v>
      </c>
      <c r="CA14" s="161" t="s">
        <v>766</v>
      </c>
      <c r="CB14" s="161" t="s">
        <v>766</v>
      </c>
      <c r="CC14" s="161" t="s">
        <v>766</v>
      </c>
      <c r="CD14" s="161" t="s">
        <v>766</v>
      </c>
      <c r="CE14" s="161" t="s">
        <v>766</v>
      </c>
      <c r="CF14" s="161" t="s">
        <v>766</v>
      </c>
      <c r="CG14" s="161" t="s">
        <v>766</v>
      </c>
      <c r="CH14" s="161" t="s">
        <v>766</v>
      </c>
      <c r="CI14" s="161" t="s">
        <v>766</v>
      </c>
      <c r="CJ14" s="161" t="s">
        <v>766</v>
      </c>
      <c r="CK14" s="161" t="s">
        <v>766</v>
      </c>
      <c r="CL14" s="161" t="s">
        <v>766</v>
      </c>
      <c r="CM14" s="161" t="s">
        <v>766</v>
      </c>
      <c r="CN14" s="161" t="s">
        <v>766</v>
      </c>
      <c r="CO14" s="161" t="s">
        <v>765</v>
      </c>
      <c r="CP14" s="161" t="s">
        <v>765</v>
      </c>
    </row>
  </sheetData>
  <sheetProtection password="F972" sheet="1" objects="1" scenarios="1" selectLockedCells="1" selectUnlockedCells="1"/>
  <mergeCells count="1">
    <mergeCell ref="H6:H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2" tint="-9.9978637043366805E-2"/>
  </sheetPr>
  <dimension ref="A1:AS93"/>
  <sheetViews>
    <sheetView topLeftCell="AH1" zoomScale="85" zoomScaleNormal="85" workbookViewId="0">
      <pane ySplit="1" topLeftCell="A71" activePane="bottomLeft" state="frozen"/>
      <selection activeCell="R29" sqref="R29:R36"/>
      <selection pane="bottomLeft" activeCell="AJ81" sqref="AJ81:AJ91"/>
    </sheetView>
  </sheetViews>
  <sheetFormatPr defaultRowHeight="15" x14ac:dyDescent="0.25"/>
  <cols>
    <col min="1" max="1" width="9.85546875" customWidth="1"/>
    <col min="2" max="2" width="55.5703125" customWidth="1"/>
    <col min="3" max="4" width="9.7109375" bestFit="1" customWidth="1"/>
    <col min="5" max="5" width="14.7109375" customWidth="1"/>
    <col min="6" max="6" width="64.28515625" customWidth="1"/>
    <col min="7" max="7" width="61.7109375" customWidth="1"/>
    <col min="8" max="8" width="22.140625" customWidth="1"/>
    <col min="9" max="9" width="55.140625" customWidth="1"/>
    <col min="10" max="10" width="22.28515625" style="4" customWidth="1"/>
    <col min="11" max="11" width="5.85546875" style="4" customWidth="1"/>
    <col min="12" max="16" width="5.7109375" customWidth="1"/>
    <col min="17" max="17" width="6.85546875" customWidth="1"/>
    <col min="18" max="18" width="10" customWidth="1"/>
    <col min="19" max="19" width="4.28515625" customWidth="1"/>
    <col min="20" max="20" width="10" bestFit="1" customWidth="1"/>
    <col min="21" max="21" width="8" customWidth="1"/>
    <col min="22" max="22" width="4.28515625" bestFit="1" customWidth="1"/>
    <col min="23" max="23" width="10" bestFit="1" customWidth="1"/>
    <col min="24" max="24" width="7.85546875" customWidth="1"/>
    <col min="25" max="25" width="4.28515625" bestFit="1" customWidth="1"/>
    <col min="26" max="26" width="10" bestFit="1" customWidth="1"/>
    <col min="27" max="27" width="10.140625" customWidth="1"/>
    <col min="28" max="28" width="5" customWidth="1"/>
    <col min="29" max="29" width="10" bestFit="1" customWidth="1"/>
    <col min="30" max="30" width="10.140625" customWidth="1"/>
    <col min="31" max="31" width="5" customWidth="1"/>
    <col min="32" max="32" width="13.140625" customWidth="1"/>
    <col min="33" max="33" width="14.5703125" customWidth="1"/>
    <col min="34" max="34" width="105.42578125" customWidth="1"/>
    <col min="38" max="38" width="64.28515625" customWidth="1"/>
    <col min="39" max="39" width="62.85546875" customWidth="1"/>
    <col min="41" max="42" width="54" customWidth="1"/>
  </cols>
  <sheetData>
    <row r="1" spans="1:42" ht="35.25" customHeight="1" x14ac:dyDescent="0.25">
      <c r="A1" s="503" t="s">
        <v>768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42" s="473" customFormat="1" ht="33.75" x14ac:dyDescent="0.5">
      <c r="A2" s="470" t="s">
        <v>769</v>
      </c>
      <c r="B2" s="471"/>
      <c r="C2" s="471"/>
      <c r="D2" s="471"/>
      <c r="E2" s="471"/>
      <c r="F2" s="471"/>
      <c r="G2" s="471"/>
      <c r="H2" s="471"/>
      <c r="I2" s="471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</row>
    <row r="3" spans="1:42" x14ac:dyDescent="0.25">
      <c r="A3" s="5" t="s">
        <v>108</v>
      </c>
      <c r="B3" s="6"/>
      <c r="C3" s="6"/>
      <c r="D3" s="6"/>
      <c r="E3" s="6"/>
      <c r="F3" s="6"/>
      <c r="G3" s="6"/>
      <c r="H3" s="6"/>
      <c r="I3" s="5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ht="110.25" customHeight="1" x14ac:dyDescent="0.25">
      <c r="A4" s="628" t="str">
        <f>UPPER(INSERIMENTO!CP4)</f>
        <v>PER MASSE, MASSE RIMORCHIABILI, PNEUMATICI, GANCI DI TRAINO, CARICHI VERTICALI, CARATTERISTICHE TECNICHE, ATTREZZATURE PORTATE E SEMIPORTATE, ALLESTIMENTI VARI , PRESCRIZIONI,  SI VEDA L'ALLEGATO TECNICO PARTE INTEGRANTE DELLA CARTA DI CIRCOLAZIONE.</v>
      </c>
      <c r="B4" s="628"/>
      <c r="C4" s="15"/>
      <c r="D4" s="15"/>
      <c r="E4" s="15"/>
      <c r="F4" s="15"/>
      <c r="G4" s="15"/>
      <c r="I4" s="7"/>
    </row>
    <row r="5" spans="1:42" x14ac:dyDescent="0.25">
      <c r="A5" s="8"/>
      <c r="B5" s="8"/>
      <c r="F5" s="8"/>
      <c r="G5" s="8"/>
      <c r="H5" s="8"/>
      <c r="I5" s="8"/>
      <c r="J5" s="16" t="s">
        <v>770</v>
      </c>
      <c r="K5" s="106"/>
    </row>
    <row r="6" spans="1:42" x14ac:dyDescent="0.25">
      <c r="C6" s="612" t="s">
        <v>771</v>
      </c>
      <c r="D6" s="612"/>
      <c r="E6" s="612"/>
      <c r="J6" s="436">
        <f>SUM(J8:J16)-LEN(I17)</f>
        <v>175</v>
      </c>
      <c r="K6" s="615" t="s">
        <v>771</v>
      </c>
      <c r="L6" s="615"/>
      <c r="M6" s="615"/>
      <c r="N6" s="615"/>
      <c r="O6" s="615"/>
      <c r="P6" s="615"/>
      <c r="Q6" s="616"/>
      <c r="R6" s="617" t="s">
        <v>772</v>
      </c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I6" s="612" t="s">
        <v>773</v>
      </c>
      <c r="AJ6" s="612"/>
      <c r="AK6" s="612"/>
      <c r="AN6" s="460" t="s">
        <v>861</v>
      </c>
      <c r="AO6" s="460"/>
      <c r="AP6" s="460"/>
    </row>
    <row r="7" spans="1:42" x14ac:dyDescent="0.25">
      <c r="A7" s="10" t="s">
        <v>774</v>
      </c>
      <c r="B7" s="9"/>
      <c r="C7" s="447" t="s">
        <v>775</v>
      </c>
      <c r="D7" s="447" t="s">
        <v>776</v>
      </c>
      <c r="E7" s="447" t="s">
        <v>777</v>
      </c>
      <c r="F7" s="447" t="s">
        <v>778</v>
      </c>
      <c r="G7" s="447" t="s">
        <v>779</v>
      </c>
      <c r="H7" s="447" t="s">
        <v>233</v>
      </c>
      <c r="I7" s="447" t="s">
        <v>780</v>
      </c>
      <c r="J7" s="434" t="s">
        <v>781</v>
      </c>
      <c r="K7" s="431">
        <v>0</v>
      </c>
      <c r="L7" s="16" t="s">
        <v>782</v>
      </c>
      <c r="M7" s="16" t="s">
        <v>783</v>
      </c>
      <c r="N7" s="16" t="s">
        <v>784</v>
      </c>
      <c r="O7" s="16" t="s">
        <v>785</v>
      </c>
      <c r="P7" s="16" t="s">
        <v>786</v>
      </c>
      <c r="Q7" s="16" t="s">
        <v>787</v>
      </c>
      <c r="R7" s="16" t="s">
        <v>782</v>
      </c>
      <c r="S7" s="16" t="s">
        <v>788</v>
      </c>
      <c r="T7" s="16" t="s">
        <v>789</v>
      </c>
      <c r="U7" s="16" t="s">
        <v>783</v>
      </c>
      <c r="V7" s="16" t="s">
        <v>790</v>
      </c>
      <c r="W7" s="16" t="s">
        <v>791</v>
      </c>
      <c r="X7" s="16" t="s">
        <v>784</v>
      </c>
      <c r="Y7" s="16" t="s">
        <v>792</v>
      </c>
      <c r="Z7" s="16" t="s">
        <v>793</v>
      </c>
      <c r="AA7" s="16" t="s">
        <v>785</v>
      </c>
      <c r="AB7" s="16" t="s">
        <v>794</v>
      </c>
      <c r="AC7" s="16" t="s">
        <v>795</v>
      </c>
      <c r="AD7" s="16" t="s">
        <v>786</v>
      </c>
      <c r="AE7" s="16" t="s">
        <v>796</v>
      </c>
      <c r="AF7" s="16" t="s">
        <v>797</v>
      </c>
      <c r="AG7" s="16" t="s">
        <v>798</v>
      </c>
      <c r="AH7" s="16" t="s">
        <v>799</v>
      </c>
      <c r="AI7" s="447" t="s">
        <v>775</v>
      </c>
      <c r="AJ7" s="447" t="s">
        <v>776</v>
      </c>
      <c r="AK7" s="447" t="s">
        <v>777</v>
      </c>
      <c r="AL7" s="447" t="s">
        <v>800</v>
      </c>
      <c r="AM7" s="447" t="s">
        <v>801</v>
      </c>
      <c r="AN7" s="461" t="s">
        <v>862</v>
      </c>
      <c r="AO7" s="461" t="s">
        <v>863</v>
      </c>
      <c r="AP7" s="461" t="s">
        <v>864</v>
      </c>
    </row>
    <row r="8" spans="1:42" x14ac:dyDescent="0.25">
      <c r="A8" s="2">
        <f>IF((ROW()-ROW($A$8))+SUM(STRINGA!$I$6:$M$6)&lt;=NUMRD*2+NUMRDJ,ROW()-ROW($A$8),"")</f>
        <v>0</v>
      </c>
      <c r="B8" s="11" t="s">
        <v>802</v>
      </c>
      <c r="C8" s="13"/>
      <c r="D8" s="13"/>
      <c r="E8" s="13"/>
      <c r="F8" s="13"/>
      <c r="G8" s="13"/>
      <c r="H8" s="13"/>
      <c r="I8" s="13"/>
      <c r="J8" s="435"/>
      <c r="K8" s="43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341"/>
      <c r="AN8" s="13"/>
      <c r="AO8" s="13"/>
      <c r="AP8" s="13"/>
    </row>
    <row r="9" spans="1:42" x14ac:dyDescent="0.25">
      <c r="A9" s="2">
        <f>IF((ROW()-ROW($A$8))+SUM(STRINGA!$I$6:$M$6)&lt;=NUMRD*2+NUMRDJ,ROW()-ROW($A$8),"")</f>
        <v>1</v>
      </c>
      <c r="B9" s="14" t="str">
        <f t="shared" ref="B9:B17" si="0">IF(OR(LEFT(IFERROR(G8&amp;MID($A$4,(A8)*LUNGH+1,LUNGH),""),1)=CHAR(10),LEFT(IFERROR(G8&amp;MID($A$4,(A8)*LUNGH+1,LUNGH),""),1)=" "),MID(IFERROR(G8&amp;MID($A$4,(A8)*LUNGH+1,LUNGH),""),2,999),IFERROR(G8&amp;MID($A$4,(A8)*LUNGH+1,LUNGH),""))</f>
        <v xml:space="preserve">PER MASSE, MASSE RIMORCHIABILI, PNEUMATICI, GANCI DI </v>
      </c>
      <c r="C9" s="3" t="str">
        <f t="shared" ref="C9:C16" si="1">IFERROR(FIND("*",B9)," ")</f>
        <v xml:space="preserve"> </v>
      </c>
      <c r="D9" s="3">
        <f>IFERROR(IF(C9=1,FIND("*",B9,C9+1),999),999)</f>
        <v>999</v>
      </c>
      <c r="E9" s="3">
        <f t="shared" ref="E9:E13" si="2">IFERROR(FIND(CHAR(10),B9,2)-1-IF(LEFT(B9,1)=CHAR(10),1,0),999)</f>
        <v>999</v>
      </c>
      <c r="F9" s="19" t="str">
        <f t="shared" ref="F9:F17" si="3">IF(A9&lt;&gt;"",LEFT(LEFT(CLEAN(B9),MIN(D9,E9))&amp;SPAZI,LUNGH),"")</f>
        <v xml:space="preserve">PER MASSE, MASSE RIMORCHIABILI, PNEUMATICI, GANCI DI </v>
      </c>
      <c r="G9" s="20" t="str">
        <f t="shared" ref="G9:G17" si="4">MID(B9,MIN(D9+1,E9+2,LUNGH+1+IF(E9=LUNGH,1,0)+IF(LEFT(B9,1)=CHAR(10),1,0)),1000)</f>
        <v/>
      </c>
      <c r="H9" s="3">
        <f t="shared" ref="H9:H17" si="5">IF(IFERROR(LEFT(F9,MIN(IFERROR(FIND("=",F9,2)-1,1000),FIND("*",F9,2)-1)),0)="*SOSPE",LEFT(F9,8),IFERROR(IF(C9=1,LEFT(F9,MIN(IFERROR(FIND("=",F9,2)-1,1000),FIND("*",F9,2)-1)),0),0))</f>
        <v>0</v>
      </c>
      <c r="I9" s="67" t="str">
        <f t="shared" ref="I9:I16" si="6">CLEAN(LEFT(LEFT(CLEAN(B9),MIN(D9,E9)),LUNGH))</f>
        <v xml:space="preserve">PER MASSE, MASSE RIMORCHIABILI, PNEUMATICI, GANCI DI </v>
      </c>
      <c r="J9" s="436" t="str">
        <f t="shared" ref="J9:J15" si="7">IF(I10&lt;&gt;"","",LEN(F9)-LEN(I9))</f>
        <v/>
      </c>
      <c r="K9" s="433" t="str">
        <f t="shared" ref="K9:K16" si="8">"0"</f>
        <v>0</v>
      </c>
      <c r="L9" s="2" t="str">
        <f t="shared" ref="L9:P16" si="9">IF(LEFT($F9,1)="*",IFERROR(FIND("=",$F9,K9+1),$D9),"")</f>
        <v/>
      </c>
      <c r="M9" s="2" t="str">
        <f t="shared" si="9"/>
        <v/>
      </c>
      <c r="N9" s="2" t="str">
        <f t="shared" si="9"/>
        <v/>
      </c>
      <c r="O9" s="2" t="str">
        <f t="shared" si="9"/>
        <v/>
      </c>
      <c r="P9" s="2" t="str">
        <f t="shared" si="9"/>
        <v/>
      </c>
      <c r="Q9" s="2" t="str">
        <f>IF(LEFT($F9,1)="*",IFERROR(FIND("=",$F9,O9+1),$D9),"")</f>
        <v/>
      </c>
      <c r="R9" s="105" t="str">
        <f>IF(LEFT($H9,6)="*SOSPE"," ",IF(LEFT($F9,1)="*",MID($F9,L9+1,MAX(M9-L9-1,0)),""))</f>
        <v/>
      </c>
      <c r="S9" s="105" t="str">
        <f>IF(LEFT($F9,1)="*",IF(VLOOKUP($H9,ELENCHI!$BG$24:$BO$123,5,FALSE)=LEN(R9),0,1),"")</f>
        <v/>
      </c>
      <c r="T9" s="105" t="str">
        <f>IF(S9=0,IFERROR(LEFT(R9,VLOOKUP($H9,ELENCHI!$BG$24:$CB$123,5,FALSE)-VLOOKUP($H9,ELENCHI!$BG$24:$CB$123,10,FALSE))&amp;IF(VLOOKUP($H9,ELENCHI!$BG$24:$CB$123,10,FALSE)=0,"",",")&amp;RIGHT(R9,VLOOKUP($H9,ELENCHI!$BG$24:$CB$123,10,FALSE)),""),"!!!")</f>
        <v>!!!</v>
      </c>
      <c r="U9" s="2" t="str">
        <f>IF(LEFT($F9,1)="*",MID($F9,M9+1,MAX(N9-M9-1,0)),"")</f>
        <v/>
      </c>
      <c r="V9" s="2" t="str">
        <f>IF(LEFT($F9,1)="*",IF(VLOOKUP($H9,ELENCHI!$BG$24:$BO$123,6,FALSE)=LEN(U9),0,1),"")</f>
        <v/>
      </c>
      <c r="W9" s="2" t="str">
        <f>IF(V9=0,IFERROR(LEFT(U9,VLOOKUP($H9,ELENCHI!$BG$24:$CB$123,6,FALSE)-VLOOKUP($H9,ELENCHI!$BG$24:$CB$123,11,FALSE))&amp;IF(VLOOKUP($H9,ELENCHI!$BG$24:$CB$123,11,FALSE)=0,"",",")&amp;RIGHT(U9,VLOOKUP($H9,ELENCHI!$BG$24:$CB$123,11,FALSE)),""),"!!!")</f>
        <v>!!!</v>
      </c>
      <c r="X9" s="105" t="str">
        <f>IF(LEFT($F9,1)="*",MID($F9,N9+1,MAX(O9-N9-1,0)),"")</f>
        <v/>
      </c>
      <c r="Y9" s="105" t="str">
        <f>IF(LEFT($F9,1)="*",IF(VLOOKUP($H9,ELENCHI!$BG$24:$BO$123,7,FALSE)=LEN(X9),0,1),"")</f>
        <v/>
      </c>
      <c r="Z9" s="105" t="str">
        <f>IF(Y9=0,IFERROR(LEFT(X9,VLOOKUP($H9,ELENCHI!$BG$24:$CB$123,7,FALSE)-VLOOKUP($H9,ELENCHI!$BG$24:$CB$123,12,FALSE))&amp;IF(VLOOKUP($H9,ELENCHI!$BG$24:$CB$123,12,FALSE)=0,"",",")&amp;RIGHT(X9,VLOOKUP($H9,ELENCHI!$BG$24:$CB$123,12,FALSE)),""),"!!!")</f>
        <v>!!!</v>
      </c>
      <c r="AA9" s="113" t="str">
        <f>IF(LEFT($F9,1)="*",MID($F9,O9+1,MAX(P9-O9-1,0)),"")</f>
        <v/>
      </c>
      <c r="AB9" s="113" t="str">
        <f>IF(LEFT($F9,1)="*",IF(VLOOKUP($H9,ELENCHI!$BG$24:$BO$123,8,FALSE)=LEN(AA9),0,1),"")</f>
        <v/>
      </c>
      <c r="AC9" s="113" t="str">
        <f>IF(AB9=0,IFERROR(LEFT(AA9,VLOOKUP($H9,ELENCHI!$BG$24:$CB$123,8,FALSE)-VLOOKUP($H9,ELENCHI!$BG$24:$CB$123,13,FALSE))&amp;IF(VLOOKUP($H9,ELENCHI!$BG$24:$CB$123,13,FALSE)=0,"",",")&amp;RIGHT(AA9,VLOOKUP($H9,ELENCHI!$BG$24:$CB$123,13,FALSE)),""),"!!!")</f>
        <v>!!!</v>
      </c>
      <c r="AD9" s="105" t="str">
        <f>IF(LEFT($F9,1)="*",MID($F9,P9+1,MAX(Q9-P9-1,0)),"")</f>
        <v/>
      </c>
      <c r="AE9" s="105" t="str">
        <f>IF(LEFT($F9,1)="*",IF(VLOOKUP($H9,ELENCHI!$BG$24:$BO$123,9,FALSE)=LEN(AD9),0,1),"")</f>
        <v/>
      </c>
      <c r="AF9" s="105" t="str">
        <f>IF(AE9=0,IFERROR(LEFT(AD9,VLOOKUP($H9,ELENCHI!$BG$24:$CB$123,9,FALSE)-VLOOKUP($H9,ELENCHI!$BG$24:$CB$123,14,FALSE))&amp;IF(VLOOKUP($H9,ELENCHI!$BG$24:$CB$123,14,FALSE)=0,"",",")&amp;RIGHT(AD9,VLOOKUP($H9,ELENCHI!$BG$24:$CB$123,14,FALSE)),""),"!!!")</f>
        <v>!!!</v>
      </c>
      <c r="AG9" s="117">
        <f>SUM(S9,V9,Y9,AB9,AE9)</f>
        <v>0</v>
      </c>
      <c r="AH9" s="2" t="str">
        <f>AM8&amp;IF(H9&lt;&gt;0,VLOOKUP($H9,ELENCHI!$BG$24:$CB$123,16,FALSE)&amp;T9&amp;VLOOKUP($H9,ELENCHI!$BG$24:$CB$123,17,FALSE)&amp;W9&amp;VLOOKUP($H9,ELENCHI!$BG$24:$CB$123,18,FALSE)&amp;Z9&amp;VLOOKUP($H9,ELENCHI!$BG$24:$CB$123,19,FALSE)&amp;AC9&amp;VLOOKUP($H9,ELENCHI!$BG$24:$CB$123,20,FALSE)&amp;AF9&amp;CHAR(10),I9&amp;IF(IFERROR(FIND(CHAR(10),LEFT(B9,LUNGH),1),0)&gt;0,CHAR(10),""))</f>
        <v xml:space="preserve">PER MASSE, MASSE RIMORCHIABILI, PNEUMATICI, GANCI DI </v>
      </c>
      <c r="AI9" s="3" t="str">
        <f>IFERROR(FIND("*",AH9)," ")</f>
        <v xml:space="preserve"> </v>
      </c>
      <c r="AJ9" s="3">
        <f>IFERROR(IF(AI9=1,FIND("*",AH9,AI9+1),999),999)</f>
        <v>999</v>
      </c>
      <c r="AK9" s="3">
        <f>IFERROR(FIND(CHAR(10),AH9,2)-1,999)</f>
        <v>999</v>
      </c>
      <c r="AL9" s="114" t="str">
        <f>IFERROR(LEFT(LEFT(CLEAN(AH9),MIN(AJ9,AK9))&amp;SPAZI,LUNGH),"!!!")</f>
        <v xml:space="preserve">PER MASSE, MASSE RIMORCHIABILI, PNEUMATICI, GANCI DI </v>
      </c>
      <c r="AM9" s="20" t="str">
        <f t="shared" ref="AM9:AM16" si="10">MID(AH9,MIN(AJ9+1,AK9+2,LUNGH+1),1000)</f>
        <v/>
      </c>
      <c r="AN9" s="2">
        <f>A9</f>
        <v>1</v>
      </c>
      <c r="AO9" s="462" t="str">
        <f>IF(AN9&lt;&gt;"",F9,"------  RIGA OCCUPATA DA PRESCRIZIONI TECNICHE ------")</f>
        <v xml:space="preserve">PER MASSE, MASSE RIMORCHIABILI, PNEUMATICI, GANCI DI </v>
      </c>
      <c r="AP9" s="462" t="str">
        <f>AN9&amp;"       "&amp;AO9&amp;CHAR(10)</f>
        <v xml:space="preserve">1       PER MASSE, MASSE RIMORCHIABILI, PNEUMATICI, GANCI DI 
</v>
      </c>
    </row>
    <row r="10" spans="1:42" x14ac:dyDescent="0.25">
      <c r="A10" s="2">
        <f>IF((ROW()-ROW($A$8))+SUM(STRINGA!$I$6:$M$6)&lt;=NUMRD*2+NUMRDJ,ROW()-ROW($A$8),"")</f>
        <v>2</v>
      </c>
      <c r="B10" s="14" t="str">
        <f t="shared" si="0"/>
        <v xml:space="preserve">TRAINO, CARICHI VERTICALI, CARATTERISTICHE TECNICHE, </v>
      </c>
      <c r="C10" s="3" t="str">
        <f t="shared" si="1"/>
        <v xml:space="preserve"> </v>
      </c>
      <c r="D10" s="3">
        <f t="shared" ref="D10:D16" si="11">IFERROR(IF(C10=1,FIND("*",B10,C10+1),999),999)</f>
        <v>999</v>
      </c>
      <c r="E10" s="3">
        <f t="shared" si="2"/>
        <v>999</v>
      </c>
      <c r="F10" s="19" t="str">
        <f t="shared" si="3"/>
        <v xml:space="preserve">TRAINO, CARICHI VERTICALI, CARATTERISTICHE TECNICHE, </v>
      </c>
      <c r="G10" s="20" t="str">
        <f t="shared" si="4"/>
        <v/>
      </c>
      <c r="H10" s="3">
        <f t="shared" si="5"/>
        <v>0</v>
      </c>
      <c r="I10" s="67" t="str">
        <f t="shared" si="6"/>
        <v xml:space="preserve">TRAINO, CARICHI VERTICALI, CARATTERISTICHE TECNICHE, </v>
      </c>
      <c r="J10" s="436" t="str">
        <f t="shared" si="7"/>
        <v/>
      </c>
      <c r="K10" s="433" t="str">
        <f t="shared" si="8"/>
        <v>0</v>
      </c>
      <c r="L10" s="2" t="str">
        <f t="shared" si="9"/>
        <v/>
      </c>
      <c r="M10" s="2" t="str">
        <f t="shared" si="9"/>
        <v/>
      </c>
      <c r="N10" s="2" t="str">
        <f t="shared" si="9"/>
        <v/>
      </c>
      <c r="O10" s="2" t="str">
        <f t="shared" si="9"/>
        <v/>
      </c>
      <c r="P10" s="2" t="str">
        <f t="shared" si="9"/>
        <v/>
      </c>
      <c r="Q10" s="2" t="str">
        <f t="shared" ref="Q10:Q16" si="12">IF(LEFT($F10,1)="*",IFERROR(FIND("=",$F10,O10+1),$D10),"")</f>
        <v/>
      </c>
      <c r="R10" s="105" t="str">
        <f t="shared" ref="R10:R16" si="13">IF(LEFT($H10,6)="*SOSPE"," ",IF(LEFT($F10,1)="*",MID($F10,L10+1,MAX(M10-L10-1,0)),""))</f>
        <v/>
      </c>
      <c r="S10" s="105" t="str">
        <f>IF(LEFT($F10,1)="*",IF(VLOOKUP($H10,ELENCHI!$BG$24:$BO$123,5,FALSE)=LEN(R10),0,1),"")</f>
        <v/>
      </c>
      <c r="T10" s="105" t="str">
        <f>IF(S10=0,IFERROR(LEFT(R10,VLOOKUP($H10,ELENCHI!$BG$24:$CB$123,5,FALSE)-VLOOKUP($H10,ELENCHI!$BG$24:$CB$123,10,FALSE))&amp;IF(VLOOKUP($H10,ELENCHI!$BG$24:$CB$123,10,FALSE)=0,"",",")&amp;RIGHT(R10,VLOOKUP($H10,ELENCHI!$BG$24:$CB$123,10,FALSE)),""),"!!!")</f>
        <v>!!!</v>
      </c>
      <c r="U10" s="2" t="str">
        <f t="shared" ref="U10:U16" si="14">IF(LEFT($F10,1)="*",MID($F10,M10+1,MAX(N10-M10-1,0)),"")</f>
        <v/>
      </c>
      <c r="V10" s="2" t="str">
        <f>IF(LEFT($F10,1)="*",IF(VLOOKUP($H10,ELENCHI!$BG$24:$BO$123,6,FALSE)=LEN(U10),0,1),"")</f>
        <v/>
      </c>
      <c r="W10" s="2" t="str">
        <f>IF(V10=0,IFERROR(LEFT(U10,VLOOKUP($H10,ELENCHI!$BG$24:$CB$123,6,FALSE)-VLOOKUP($H10,ELENCHI!$BG$24:$CB$123,11,FALSE))&amp;IF(VLOOKUP($H10,ELENCHI!$BG$24:$CB$123,11,FALSE)=0,"",",")&amp;RIGHT(U10,VLOOKUP($H10,ELENCHI!$BG$24:$CB$123,11,FALSE)),""),"!!!")</f>
        <v>!!!</v>
      </c>
      <c r="X10" s="105" t="str">
        <f t="shared" ref="X10:X16" si="15">IF(LEFT($F10,1)="*",MID($F10,N10+1,MAX(O10-N10-1,0)),"")</f>
        <v/>
      </c>
      <c r="Y10" s="105" t="str">
        <f>IF(LEFT($F10,1)="*",IF(VLOOKUP($H10,ELENCHI!$BG$24:$BO$123,7,FALSE)=LEN(X10),0,1),"")</f>
        <v/>
      </c>
      <c r="Z10" s="105" t="str">
        <f>IF(Y10=0,IFERROR(LEFT(X10,VLOOKUP($H10,ELENCHI!$BG$24:$CB$123,7,FALSE)-VLOOKUP($H10,ELENCHI!$BG$24:$CB$123,12,FALSE))&amp;IF(VLOOKUP($H10,ELENCHI!$BG$24:$CB$123,12,FALSE)=0,"",",")&amp;RIGHT(X10,VLOOKUP($H10,ELENCHI!$BG$24:$CB$123,12,FALSE)),""),"!!!")</f>
        <v>!!!</v>
      </c>
      <c r="AA10" s="113" t="str">
        <f t="shared" ref="AA10:AA16" si="16">IF(LEFT($F10,1)="*",MID($F10,O10+1,MAX(P10-O10-1,0)),"")</f>
        <v/>
      </c>
      <c r="AB10" s="113" t="str">
        <f>IF(LEFT($F10,1)="*",IF(VLOOKUP($H10,ELENCHI!$BG$24:$BO$123,8,FALSE)=LEN(AA10),0,1),"")</f>
        <v/>
      </c>
      <c r="AC10" s="113" t="str">
        <f>IF(AB10=0,IFERROR(LEFT(AA10,VLOOKUP($H10,ELENCHI!$BG$24:$CB$123,8,FALSE)-VLOOKUP($H10,ELENCHI!$BG$24:$CB$123,13,FALSE))&amp;IF(VLOOKUP($H10,ELENCHI!$BG$24:$CB$123,13,FALSE)=0,"",",")&amp;RIGHT(AA10,VLOOKUP($H10,ELENCHI!$BG$24:$CB$123,13,FALSE)),""),"!!!")</f>
        <v>!!!</v>
      </c>
      <c r="AD10" s="105" t="str">
        <f t="shared" ref="AD10:AD16" si="17">IF(LEFT($F10,1)="*",MID($F10,P10+1,MAX(Q10-P10-1,0)),"")</f>
        <v/>
      </c>
      <c r="AE10" s="105" t="str">
        <f>IF(LEFT($F10,1)="*",IF(VLOOKUP($H10,ELENCHI!$BG$24:$BO$123,9,FALSE)=LEN(AD10),0,1),"")</f>
        <v/>
      </c>
      <c r="AF10" s="105" t="str">
        <f>IF(AE10=0,IFERROR(LEFT(AD10,VLOOKUP($H10,ELENCHI!$BG$24:$CB$123,9,FALSE)-VLOOKUP($H10,ELENCHI!$BG$24:$CB$123,14,FALSE))&amp;IF(VLOOKUP($H10,ELENCHI!$BG$24:$CB$123,14,FALSE)=0,"",",")&amp;RIGHT(AD10,VLOOKUP($H10,ELENCHI!$BG$24:$CB$123,14,FALSE)),""),"!!!")</f>
        <v>!!!</v>
      </c>
      <c r="AG10" s="117">
        <f t="shared" ref="AG10:AG16" si="18">SUM(S10,V10,Y10,AB10,AE10)</f>
        <v>0</v>
      </c>
      <c r="AH10" s="2" t="str">
        <f>AM9&amp;IF(H10&lt;&gt;0,VLOOKUP($H10,ELENCHI!$BG$24:$CB$123,16,FALSE)&amp;T10&amp;VLOOKUP($H10,ELENCHI!$BG$24:$CB$123,17,FALSE)&amp;W10&amp;VLOOKUP($H10,ELENCHI!$BG$24:$CB$123,18,FALSE)&amp;Z10&amp;VLOOKUP($H10,ELENCHI!$BG$24:$CB$123,19,FALSE)&amp;AC10&amp;VLOOKUP($H10,ELENCHI!$BG$24:$CB$123,20,FALSE)&amp;AF10&amp;CHAR(10),I10&amp;IF(IFERROR(FIND(CHAR(10),LEFT(B10,LUNGH),1),0)&gt;0,CHAR(10),""))</f>
        <v xml:space="preserve">TRAINO, CARICHI VERTICALI, CARATTERISTICHE TECNICHE, </v>
      </c>
      <c r="AI10" s="3" t="str">
        <f t="shared" ref="AI10:AI16" si="19">IFERROR(FIND("*",AH10)," ")</f>
        <v xml:space="preserve"> </v>
      </c>
      <c r="AJ10" s="3">
        <f t="shared" ref="AJ10:AJ19" si="20">IFERROR(IF(AI10=1,FIND("*",AH10,AI10+1),999),999)</f>
        <v>999</v>
      </c>
      <c r="AK10" s="3">
        <f t="shared" ref="AK10:AK16" si="21">IFERROR(FIND(CHAR(10),AH10,2)-1,999)</f>
        <v>999</v>
      </c>
      <c r="AL10" s="114" t="str">
        <f t="shared" ref="AL10:AL16" si="22">IFERROR(LEFT(LEFT(CLEAN(AH10),MIN(AJ10,AK10))&amp;SPAZI,LUNGH),"!!!")</f>
        <v xml:space="preserve">TRAINO, CARICHI VERTICALI, CARATTERISTICHE TECNICHE, </v>
      </c>
      <c r="AM10" s="20" t="str">
        <f t="shared" si="10"/>
        <v/>
      </c>
      <c r="AN10" s="2">
        <f t="shared" ref="AN10:AN16" si="23">A10</f>
        <v>2</v>
      </c>
      <c r="AO10" s="462" t="str">
        <f t="shared" ref="AO10:AO16" si="24">IF(AN10&lt;&gt;"",F10,"------  RIGA OCCUPATA DA PRESCRIZIONI TECNICHE ------")</f>
        <v xml:space="preserve">TRAINO, CARICHI VERTICALI, CARATTERISTICHE TECNICHE, </v>
      </c>
      <c r="AP10" s="462" t="str">
        <f t="shared" ref="AP10:AP16" si="25">AN10&amp;"       "&amp;AO10&amp;CHAR(10)</f>
        <v xml:space="preserve">2       TRAINO, CARICHI VERTICALI, CARATTERISTICHE TECNICHE, 
</v>
      </c>
    </row>
    <row r="11" spans="1:42" x14ac:dyDescent="0.25">
      <c r="A11" s="2">
        <f>IF((ROW()-ROW($A$8))+SUM(STRINGA!$I$6:$M$6)&lt;=NUMRD*2+NUMRDJ,ROW()-ROW($A$8),"")</f>
        <v>3</v>
      </c>
      <c r="B11" s="14" t="str">
        <f t="shared" si="0"/>
        <v>ATTREZZATURE PORTATE E SEMIPORTATE, ALLESTIMENTI VARI</v>
      </c>
      <c r="C11" s="3" t="str">
        <f t="shared" si="1"/>
        <v xml:space="preserve"> </v>
      </c>
      <c r="D11" s="3">
        <f t="shared" si="11"/>
        <v>999</v>
      </c>
      <c r="E11" s="3">
        <f t="shared" si="2"/>
        <v>999</v>
      </c>
      <c r="F11" s="19" t="str">
        <f t="shared" si="3"/>
        <v>ATTREZZATURE PORTATE E SEMIPORTATE, ALLESTIMENTI VARI</v>
      </c>
      <c r="G11" s="20" t="str">
        <f t="shared" si="4"/>
        <v/>
      </c>
      <c r="H11" s="3">
        <f t="shared" si="5"/>
        <v>0</v>
      </c>
      <c r="I11" s="67" t="str">
        <f t="shared" si="6"/>
        <v>ATTREZZATURE PORTATE E SEMIPORTATE, ALLESTIMENTI VARI</v>
      </c>
      <c r="J11" s="436" t="str">
        <f t="shared" si="7"/>
        <v/>
      </c>
      <c r="K11" s="433" t="str">
        <f t="shared" si="8"/>
        <v>0</v>
      </c>
      <c r="L11" s="2" t="str">
        <f t="shared" si="9"/>
        <v/>
      </c>
      <c r="M11" s="2" t="str">
        <f t="shared" si="9"/>
        <v/>
      </c>
      <c r="N11" s="2" t="str">
        <f t="shared" si="9"/>
        <v/>
      </c>
      <c r="O11" s="2" t="str">
        <f t="shared" si="9"/>
        <v/>
      </c>
      <c r="P11" s="2" t="str">
        <f t="shared" si="9"/>
        <v/>
      </c>
      <c r="Q11" s="2" t="str">
        <f t="shared" si="12"/>
        <v/>
      </c>
      <c r="R11" s="105" t="str">
        <f t="shared" si="13"/>
        <v/>
      </c>
      <c r="S11" s="105" t="str">
        <f>IF(LEFT($F11,1)="*",IF(VLOOKUP($H11,ELENCHI!$BG$24:$BO$123,5,FALSE)=LEN(R11),0,1),"")</f>
        <v/>
      </c>
      <c r="T11" s="105" t="str">
        <f>IF(S11=0,IFERROR(LEFT(R11,VLOOKUP($H11,ELENCHI!$BG$24:$CB$123,5,FALSE)-VLOOKUP($H11,ELENCHI!$BG$24:$CB$123,10,FALSE))&amp;IF(VLOOKUP($H11,ELENCHI!$BG$24:$CB$123,10,FALSE)=0,"",",")&amp;RIGHT(R11,VLOOKUP($H11,ELENCHI!$BG$24:$CB$123,10,FALSE)),""),"!!!")</f>
        <v>!!!</v>
      </c>
      <c r="U11" s="2" t="str">
        <f t="shared" si="14"/>
        <v/>
      </c>
      <c r="V11" s="2" t="str">
        <f>IF(LEFT($F11,1)="*",IF(VLOOKUP($H11,ELENCHI!$BG$24:$BO$123,6,FALSE)=LEN(U11),0,1),"")</f>
        <v/>
      </c>
      <c r="W11" s="2" t="str">
        <f>IF(V11=0,IFERROR(LEFT(U11,VLOOKUP($H11,ELENCHI!$BG$24:$CB$123,6,FALSE)-VLOOKUP($H11,ELENCHI!$BG$24:$CB$123,11,FALSE))&amp;IF(VLOOKUP($H11,ELENCHI!$BG$24:$CB$123,11,FALSE)=0,"",",")&amp;RIGHT(U11,VLOOKUP($H11,ELENCHI!$BG$24:$CB$123,11,FALSE)),""),"!!!")</f>
        <v>!!!</v>
      </c>
      <c r="X11" s="105" t="str">
        <f t="shared" si="15"/>
        <v/>
      </c>
      <c r="Y11" s="105" t="str">
        <f>IF(LEFT($F11,1)="*",IF(VLOOKUP($H11,ELENCHI!$BG$24:$BO$123,7,FALSE)=LEN(X11),0,1),"")</f>
        <v/>
      </c>
      <c r="Z11" s="105" t="str">
        <f>IF(Y11=0,IFERROR(LEFT(X11,VLOOKUP($H11,ELENCHI!$BG$24:$CB$123,7,FALSE)-VLOOKUP($H11,ELENCHI!$BG$24:$CB$123,12,FALSE))&amp;IF(VLOOKUP($H11,ELENCHI!$BG$24:$CB$123,12,FALSE)=0,"",",")&amp;RIGHT(X11,VLOOKUP($H11,ELENCHI!$BG$24:$CB$123,12,FALSE)),""),"!!!")</f>
        <v>!!!</v>
      </c>
      <c r="AA11" s="113" t="str">
        <f t="shared" si="16"/>
        <v/>
      </c>
      <c r="AB11" s="113" t="str">
        <f>IF(LEFT($F11,1)="*",IF(VLOOKUP($H11,ELENCHI!$BG$24:$BO$123,8,FALSE)=LEN(AA11),0,1),"")</f>
        <v/>
      </c>
      <c r="AC11" s="113" t="str">
        <f>IF(AB11=0,IFERROR(LEFT(AA11,VLOOKUP($H11,ELENCHI!$BG$24:$CB$123,8,FALSE)-VLOOKUP($H11,ELENCHI!$BG$24:$CB$123,13,FALSE))&amp;IF(VLOOKUP($H11,ELENCHI!$BG$24:$CB$123,13,FALSE)=0,"",",")&amp;RIGHT(AA11,VLOOKUP($H11,ELENCHI!$BG$24:$CB$123,13,FALSE)),""),"!!!")</f>
        <v>!!!</v>
      </c>
      <c r="AD11" s="105" t="str">
        <f t="shared" si="17"/>
        <v/>
      </c>
      <c r="AE11" s="105" t="str">
        <f>IF(LEFT($F11,1)="*",IF(VLOOKUP($H11,ELENCHI!$BG$24:$BO$123,9,FALSE)=LEN(AD11),0,1),"")</f>
        <v/>
      </c>
      <c r="AF11" s="105" t="str">
        <f>IF(AE11=0,IFERROR(LEFT(AD11,VLOOKUP($H11,ELENCHI!$BG$24:$CB$123,9,FALSE)-VLOOKUP($H11,ELENCHI!$BG$24:$CB$123,14,FALSE))&amp;IF(VLOOKUP($H11,ELENCHI!$BG$24:$CB$123,14,FALSE)=0,"",",")&amp;RIGHT(AD11,VLOOKUP($H11,ELENCHI!$BG$24:$CB$123,14,FALSE)),""),"!!!")</f>
        <v>!!!</v>
      </c>
      <c r="AG11" s="117">
        <f t="shared" si="18"/>
        <v>0</v>
      </c>
      <c r="AH11" s="2" t="str">
        <f>AM10&amp;IF(H11&lt;&gt;0,VLOOKUP($H11,ELENCHI!$BG$24:$CB$123,16,FALSE)&amp;T11&amp;VLOOKUP($H11,ELENCHI!$BG$24:$CB$123,17,FALSE)&amp;W11&amp;VLOOKUP($H11,ELENCHI!$BG$24:$CB$123,18,FALSE)&amp;Z11&amp;VLOOKUP($H11,ELENCHI!$BG$24:$CB$123,19,FALSE)&amp;AC11&amp;VLOOKUP($H11,ELENCHI!$BG$24:$CB$123,20,FALSE)&amp;AF11&amp;CHAR(10),I11&amp;IF(IFERROR(FIND(CHAR(10),LEFT(B11,LUNGH),1),0)&gt;0,CHAR(10),""))</f>
        <v>ATTREZZATURE PORTATE E SEMIPORTATE, ALLESTIMENTI VARI</v>
      </c>
      <c r="AI11" s="3" t="str">
        <f t="shared" si="19"/>
        <v xml:space="preserve"> </v>
      </c>
      <c r="AJ11" s="3">
        <f t="shared" si="20"/>
        <v>999</v>
      </c>
      <c r="AK11" s="3">
        <f t="shared" si="21"/>
        <v>999</v>
      </c>
      <c r="AL11" s="114" t="str">
        <f t="shared" si="22"/>
        <v>ATTREZZATURE PORTATE E SEMIPORTATE, ALLESTIMENTI VARI</v>
      </c>
      <c r="AM11" s="20" t="str">
        <f t="shared" si="10"/>
        <v/>
      </c>
      <c r="AN11" s="2">
        <f t="shared" si="23"/>
        <v>3</v>
      </c>
      <c r="AO11" s="462" t="str">
        <f t="shared" si="24"/>
        <v>ATTREZZATURE PORTATE E SEMIPORTATE, ALLESTIMENTI VARI</v>
      </c>
      <c r="AP11" s="462" t="str">
        <f t="shared" si="25"/>
        <v xml:space="preserve">3       ATTREZZATURE PORTATE E SEMIPORTATE, ALLESTIMENTI VARI
</v>
      </c>
    </row>
    <row r="12" spans="1:42" x14ac:dyDescent="0.25">
      <c r="A12" s="2">
        <f>IF((ROW()-ROW($A$8))+SUM(STRINGA!$I$6:$M$6)&lt;=NUMRD*2+NUMRDJ,ROW()-ROW($A$8),"")</f>
        <v>4</v>
      </c>
      <c r="B12" s="14" t="str">
        <f t="shared" si="0"/>
        <v>, PRESCRIZIONI,  SI VEDA L'ALLEGATO TECNICO PARTE IN</v>
      </c>
      <c r="C12" s="3" t="str">
        <f t="shared" si="1"/>
        <v xml:space="preserve"> </v>
      </c>
      <c r="D12" s="3">
        <f t="shared" si="11"/>
        <v>999</v>
      </c>
      <c r="E12" s="3">
        <f t="shared" si="2"/>
        <v>999</v>
      </c>
      <c r="F12" s="19" t="str">
        <f t="shared" si="3"/>
        <v xml:space="preserve">, PRESCRIZIONI,  SI VEDA L'ALLEGATO TECNICO PARTE IN </v>
      </c>
      <c r="G12" s="20" t="str">
        <f t="shared" si="4"/>
        <v/>
      </c>
      <c r="H12" s="3">
        <f t="shared" si="5"/>
        <v>0</v>
      </c>
      <c r="I12" s="67" t="str">
        <f t="shared" si="6"/>
        <v>, PRESCRIZIONI,  SI VEDA L'ALLEGATO TECNICO PARTE IN</v>
      </c>
      <c r="J12" s="436" t="str">
        <f t="shared" si="7"/>
        <v/>
      </c>
      <c r="K12" s="433" t="str">
        <f t="shared" si="8"/>
        <v>0</v>
      </c>
      <c r="L12" s="2" t="str">
        <f t="shared" si="9"/>
        <v/>
      </c>
      <c r="M12" s="2" t="str">
        <f t="shared" si="9"/>
        <v/>
      </c>
      <c r="N12" s="2" t="str">
        <f t="shared" si="9"/>
        <v/>
      </c>
      <c r="O12" s="2" t="str">
        <f t="shared" si="9"/>
        <v/>
      </c>
      <c r="P12" s="2" t="str">
        <f t="shared" si="9"/>
        <v/>
      </c>
      <c r="Q12" s="2" t="str">
        <f t="shared" si="12"/>
        <v/>
      </c>
      <c r="R12" s="105" t="str">
        <f t="shared" si="13"/>
        <v/>
      </c>
      <c r="S12" s="105" t="str">
        <f>IF(LEFT($F12,1)="*",IF(VLOOKUP($H12,ELENCHI!$BG$24:$BO$123,5,FALSE)=LEN(R12),0,1),"")</f>
        <v/>
      </c>
      <c r="T12" s="105" t="str">
        <f>IF(S12=0,IFERROR(LEFT(R12,VLOOKUP($H12,ELENCHI!$BG$24:$CB$123,5,FALSE)-VLOOKUP($H12,ELENCHI!$BG$24:$CB$123,10,FALSE))&amp;IF(VLOOKUP($H12,ELENCHI!$BG$24:$CB$123,10,FALSE)=0,"",",")&amp;RIGHT(R12,VLOOKUP($H12,ELENCHI!$BG$24:$CB$123,10,FALSE)),""),"!!!")</f>
        <v>!!!</v>
      </c>
      <c r="U12" s="2" t="str">
        <f t="shared" si="14"/>
        <v/>
      </c>
      <c r="V12" s="2" t="str">
        <f>IF(LEFT($F12,1)="*",IF(VLOOKUP($H12,ELENCHI!$BG$24:$BO$123,6,FALSE)=LEN(U12),0,1),"")</f>
        <v/>
      </c>
      <c r="W12" s="2" t="str">
        <f>IF(V12=0,IFERROR(LEFT(U12,VLOOKUP($H12,ELENCHI!$BG$24:$CB$123,6,FALSE)-VLOOKUP($H12,ELENCHI!$BG$24:$CB$123,11,FALSE))&amp;IF(VLOOKUP($H12,ELENCHI!$BG$24:$CB$123,11,FALSE)=0,"",",")&amp;RIGHT(U12,VLOOKUP($H12,ELENCHI!$BG$24:$CB$123,11,FALSE)),""),"!!!")</f>
        <v>!!!</v>
      </c>
      <c r="X12" s="105" t="str">
        <f t="shared" si="15"/>
        <v/>
      </c>
      <c r="Y12" s="105" t="str">
        <f>IF(LEFT($F12,1)="*",IF(VLOOKUP($H12,ELENCHI!$BG$24:$BO$123,7,FALSE)=LEN(X12),0,1),"")</f>
        <v/>
      </c>
      <c r="Z12" s="105" t="str">
        <f>IF(Y12=0,IFERROR(LEFT(X12,VLOOKUP($H12,ELENCHI!$BG$24:$CB$123,7,FALSE)-VLOOKUP($H12,ELENCHI!$BG$24:$CB$123,12,FALSE))&amp;IF(VLOOKUP($H12,ELENCHI!$BG$24:$CB$123,12,FALSE)=0,"",",")&amp;RIGHT(X12,VLOOKUP($H12,ELENCHI!$BG$24:$CB$123,12,FALSE)),""),"!!!")</f>
        <v>!!!</v>
      </c>
      <c r="AA12" s="113" t="str">
        <f t="shared" si="16"/>
        <v/>
      </c>
      <c r="AB12" s="113" t="str">
        <f>IF(LEFT($F12,1)="*",IF(VLOOKUP($H12,ELENCHI!$BG$24:$BO$123,8,FALSE)=LEN(AA12),0,1),"")</f>
        <v/>
      </c>
      <c r="AC12" s="113" t="str">
        <f>IF(AB12=0,IFERROR(LEFT(AA12,VLOOKUP($H12,ELENCHI!$BG$24:$CB$123,8,FALSE)-VLOOKUP($H12,ELENCHI!$BG$24:$CB$123,13,FALSE))&amp;IF(VLOOKUP($H12,ELENCHI!$BG$24:$CB$123,13,FALSE)=0,"",",")&amp;RIGHT(AA12,VLOOKUP($H12,ELENCHI!$BG$24:$CB$123,13,FALSE)),""),"!!!")</f>
        <v>!!!</v>
      </c>
      <c r="AD12" s="105" t="str">
        <f t="shared" si="17"/>
        <v/>
      </c>
      <c r="AE12" s="105" t="str">
        <f>IF(LEFT($F12,1)="*",IF(VLOOKUP($H12,ELENCHI!$BG$24:$BO$123,9,FALSE)=LEN(AD12),0,1),"")</f>
        <v/>
      </c>
      <c r="AF12" s="105" t="str">
        <f>IF(AE12=0,IFERROR(LEFT(AD12,VLOOKUP($H12,ELENCHI!$BG$24:$CB$123,9,FALSE)-VLOOKUP($H12,ELENCHI!$BG$24:$CB$123,14,FALSE))&amp;IF(VLOOKUP($H12,ELENCHI!$BG$24:$CB$123,14,FALSE)=0,"",",")&amp;RIGHT(AD12,VLOOKUP($H12,ELENCHI!$BG$24:$CB$123,14,FALSE)),""),"!!!")</f>
        <v>!!!</v>
      </c>
      <c r="AG12" s="117">
        <f t="shared" si="18"/>
        <v>0</v>
      </c>
      <c r="AH12" s="2" t="str">
        <f>AM11&amp;IF(H12&lt;&gt;0,VLOOKUP($H12,ELENCHI!$BG$24:$CB$123,16,FALSE)&amp;T12&amp;VLOOKUP($H12,ELENCHI!$BG$24:$CB$123,17,FALSE)&amp;W12&amp;VLOOKUP($H12,ELENCHI!$BG$24:$CB$123,18,FALSE)&amp;Z12&amp;VLOOKUP($H12,ELENCHI!$BG$24:$CB$123,19,FALSE)&amp;AC12&amp;VLOOKUP($H12,ELENCHI!$BG$24:$CB$123,20,FALSE)&amp;AF12&amp;CHAR(10),I12&amp;IF(IFERROR(FIND(CHAR(10),LEFT(B12,LUNGH),1),0)&gt;0,CHAR(10),""))</f>
        <v>, PRESCRIZIONI,  SI VEDA L'ALLEGATO TECNICO PARTE IN</v>
      </c>
      <c r="AI12" s="3" t="str">
        <f t="shared" si="19"/>
        <v xml:space="preserve"> </v>
      </c>
      <c r="AJ12" s="3">
        <f t="shared" si="20"/>
        <v>999</v>
      </c>
      <c r="AK12" s="3">
        <f t="shared" si="21"/>
        <v>999</v>
      </c>
      <c r="AL12" s="114" t="str">
        <f t="shared" si="22"/>
        <v xml:space="preserve">, PRESCRIZIONI,  SI VEDA L'ALLEGATO TECNICO PARTE IN </v>
      </c>
      <c r="AM12" s="20" t="str">
        <f t="shared" si="10"/>
        <v/>
      </c>
      <c r="AN12" s="2">
        <f t="shared" si="23"/>
        <v>4</v>
      </c>
      <c r="AO12" s="462" t="str">
        <f t="shared" si="24"/>
        <v xml:space="preserve">, PRESCRIZIONI,  SI VEDA L'ALLEGATO TECNICO PARTE IN </v>
      </c>
      <c r="AP12" s="462" t="str">
        <f t="shared" si="25"/>
        <v xml:space="preserve">4       , PRESCRIZIONI,  SI VEDA L'ALLEGATO TECNICO PARTE IN 
</v>
      </c>
    </row>
    <row r="13" spans="1:42" x14ac:dyDescent="0.25">
      <c r="A13" s="2">
        <f>IF((ROW()-ROW($A$8))+SUM(STRINGA!$I$6:$M$6)&lt;=NUMRD*2+NUMRDJ,ROW()-ROW($A$8),"")</f>
        <v>5</v>
      </c>
      <c r="B13" s="14" t="str">
        <f t="shared" si="0"/>
        <v>TEGRANTE DELLA CARTA DI CIRCOLAZIONE.</v>
      </c>
      <c r="C13" s="3" t="str">
        <f t="shared" si="1"/>
        <v xml:space="preserve"> </v>
      </c>
      <c r="D13" s="3">
        <f t="shared" si="11"/>
        <v>999</v>
      </c>
      <c r="E13" s="3">
        <f t="shared" si="2"/>
        <v>999</v>
      </c>
      <c r="F13" s="19" t="str">
        <f t="shared" si="3"/>
        <v xml:space="preserve">TEGRANTE DELLA CARTA DI CIRCOLAZIONE.                </v>
      </c>
      <c r="G13" s="20" t="str">
        <f t="shared" si="4"/>
        <v/>
      </c>
      <c r="H13" s="3">
        <f t="shared" si="5"/>
        <v>0</v>
      </c>
      <c r="I13" s="67" t="str">
        <f t="shared" si="6"/>
        <v>TEGRANTE DELLA CARTA DI CIRCOLAZIONE.</v>
      </c>
      <c r="J13" s="436">
        <f t="shared" si="7"/>
        <v>16</v>
      </c>
      <c r="K13" s="433" t="str">
        <f t="shared" si="8"/>
        <v>0</v>
      </c>
      <c r="L13" s="2" t="str">
        <f t="shared" si="9"/>
        <v/>
      </c>
      <c r="M13" s="2" t="str">
        <f t="shared" si="9"/>
        <v/>
      </c>
      <c r="N13" s="2" t="str">
        <f t="shared" si="9"/>
        <v/>
      </c>
      <c r="O13" s="2" t="str">
        <f t="shared" si="9"/>
        <v/>
      </c>
      <c r="P13" s="2" t="str">
        <f t="shared" si="9"/>
        <v/>
      </c>
      <c r="Q13" s="2" t="str">
        <f t="shared" si="12"/>
        <v/>
      </c>
      <c r="R13" s="105" t="str">
        <f t="shared" si="13"/>
        <v/>
      </c>
      <c r="S13" s="105" t="str">
        <f>IF(LEFT($F13,1)="*",IF(VLOOKUP($H13,ELENCHI!$BG$24:$BO$123,5,FALSE)=LEN(R13),0,1),"")</f>
        <v/>
      </c>
      <c r="T13" s="105" t="str">
        <f>IF(S13=0,IFERROR(LEFT(R13,VLOOKUP($H13,ELENCHI!$BG$24:$CB$123,5,FALSE)-VLOOKUP($H13,ELENCHI!$BG$24:$CB$123,10,FALSE))&amp;IF(VLOOKUP($H13,ELENCHI!$BG$24:$CB$123,10,FALSE)=0,"",",")&amp;RIGHT(R13,VLOOKUP($H13,ELENCHI!$BG$24:$CB$123,10,FALSE)),""),"!!!")</f>
        <v>!!!</v>
      </c>
      <c r="U13" s="2" t="str">
        <f t="shared" si="14"/>
        <v/>
      </c>
      <c r="V13" s="2" t="str">
        <f>IF(LEFT($F13,1)="*",IF(VLOOKUP($H13,ELENCHI!$BG$24:$BO$123,6,FALSE)=LEN(U13),0,1),"")</f>
        <v/>
      </c>
      <c r="W13" s="2" t="str">
        <f>IF(V13=0,IFERROR(LEFT(U13,VLOOKUP($H13,ELENCHI!$BG$24:$CB$123,6,FALSE)-VLOOKUP($H13,ELENCHI!$BG$24:$CB$123,11,FALSE))&amp;IF(VLOOKUP($H13,ELENCHI!$BG$24:$CB$123,11,FALSE)=0,"",",")&amp;RIGHT(U13,VLOOKUP($H13,ELENCHI!$BG$24:$CB$123,11,FALSE)),""),"!!!")</f>
        <v>!!!</v>
      </c>
      <c r="X13" s="105" t="str">
        <f t="shared" si="15"/>
        <v/>
      </c>
      <c r="Y13" s="105" t="str">
        <f>IF(LEFT($F13,1)="*",IF(VLOOKUP($H13,ELENCHI!$BG$24:$BO$123,7,FALSE)=LEN(X13),0,1),"")</f>
        <v/>
      </c>
      <c r="Z13" s="105" t="str">
        <f>IF(Y13=0,IFERROR(LEFT(X13,VLOOKUP($H13,ELENCHI!$BG$24:$CB$123,7,FALSE)-VLOOKUP($H13,ELENCHI!$BG$24:$CB$123,12,FALSE))&amp;IF(VLOOKUP($H13,ELENCHI!$BG$24:$CB$123,12,FALSE)=0,"",",")&amp;RIGHT(X13,VLOOKUP($H13,ELENCHI!$BG$24:$CB$123,12,FALSE)),""),"!!!")</f>
        <v>!!!</v>
      </c>
      <c r="AA13" s="113" t="str">
        <f t="shared" si="16"/>
        <v/>
      </c>
      <c r="AB13" s="113" t="str">
        <f>IF(LEFT($F13,1)="*",IF(VLOOKUP($H13,ELENCHI!$BG$24:$BO$123,8,FALSE)=LEN(AA13),0,1),"")</f>
        <v/>
      </c>
      <c r="AC13" s="113" t="str">
        <f>IF(AB13=0,IFERROR(LEFT(AA13,VLOOKUP($H13,ELENCHI!$BG$24:$CB$123,8,FALSE)-VLOOKUP($H13,ELENCHI!$BG$24:$CB$123,13,FALSE))&amp;IF(VLOOKUP($H13,ELENCHI!$BG$24:$CB$123,13,FALSE)=0,"",",")&amp;RIGHT(AA13,VLOOKUP($H13,ELENCHI!$BG$24:$CB$123,13,FALSE)),""),"!!!")</f>
        <v>!!!</v>
      </c>
      <c r="AD13" s="105" t="str">
        <f t="shared" si="17"/>
        <v/>
      </c>
      <c r="AE13" s="105" t="str">
        <f>IF(LEFT($F13,1)="*",IF(VLOOKUP($H13,ELENCHI!$BG$24:$BO$123,9,FALSE)=LEN(AD13),0,1),"")</f>
        <v/>
      </c>
      <c r="AF13" s="105" t="str">
        <f>IF(AE13=0,IFERROR(LEFT(AD13,VLOOKUP($H13,ELENCHI!$BG$24:$CB$123,9,FALSE)-VLOOKUP($H13,ELENCHI!$BG$24:$CB$123,14,FALSE))&amp;IF(VLOOKUP($H13,ELENCHI!$BG$24:$CB$123,14,FALSE)=0,"",",")&amp;RIGHT(AD13,VLOOKUP($H13,ELENCHI!$BG$24:$CB$123,14,FALSE)),""),"!!!")</f>
        <v>!!!</v>
      </c>
      <c r="AG13" s="117">
        <f t="shared" si="18"/>
        <v>0</v>
      </c>
      <c r="AH13" s="2" t="str">
        <f>AM12&amp;IF(H13&lt;&gt;0,VLOOKUP($H13,ELENCHI!$BG$24:$CB$123,16,FALSE)&amp;T13&amp;VLOOKUP($H13,ELENCHI!$BG$24:$CB$123,17,FALSE)&amp;W13&amp;VLOOKUP($H13,ELENCHI!$BG$24:$CB$123,18,FALSE)&amp;Z13&amp;VLOOKUP($H13,ELENCHI!$BG$24:$CB$123,19,FALSE)&amp;AC13&amp;VLOOKUP($H13,ELENCHI!$BG$24:$CB$123,20,FALSE)&amp;AF13&amp;CHAR(10),I13&amp;IF(IFERROR(FIND(CHAR(10),LEFT(B13,LUNGH),1),0)&gt;0,CHAR(10),""))</f>
        <v>TEGRANTE DELLA CARTA DI CIRCOLAZIONE.</v>
      </c>
      <c r="AI13" s="3" t="str">
        <f t="shared" si="19"/>
        <v xml:space="preserve"> </v>
      </c>
      <c r="AJ13" s="3">
        <f t="shared" si="20"/>
        <v>999</v>
      </c>
      <c r="AK13" s="3">
        <f t="shared" si="21"/>
        <v>999</v>
      </c>
      <c r="AL13" s="114" t="str">
        <f t="shared" si="22"/>
        <v xml:space="preserve">TEGRANTE DELLA CARTA DI CIRCOLAZIONE.                </v>
      </c>
      <c r="AM13" s="20" t="str">
        <f t="shared" si="10"/>
        <v/>
      </c>
      <c r="AN13" s="2">
        <f t="shared" si="23"/>
        <v>5</v>
      </c>
      <c r="AO13" s="462" t="str">
        <f t="shared" si="24"/>
        <v xml:space="preserve">TEGRANTE DELLA CARTA DI CIRCOLAZIONE.                </v>
      </c>
      <c r="AP13" s="462" t="str">
        <f t="shared" si="25"/>
        <v xml:space="preserve">5       TEGRANTE DELLA CARTA DI CIRCOLAZIONE.                
</v>
      </c>
    </row>
    <row r="14" spans="1:42" x14ac:dyDescent="0.25">
      <c r="A14" s="2">
        <f>IF((ROW()-ROW($A$8))+SUM(STRINGA!$I$6:$M$6)&lt;=NUMRD*2+NUMRDJ,ROW()-ROW($A$8),"")</f>
        <v>6</v>
      </c>
      <c r="B14" s="14" t="str">
        <f t="shared" si="0"/>
        <v/>
      </c>
      <c r="C14" s="3" t="str">
        <f t="shared" si="1"/>
        <v xml:space="preserve"> </v>
      </c>
      <c r="D14" s="3">
        <f t="shared" si="11"/>
        <v>999</v>
      </c>
      <c r="E14" s="3">
        <f>IFERROR(FIND(CHAR(10),B14,2)-1-IF(LEFT(B14,1)=CHAR(10),1,0),999)</f>
        <v>999</v>
      </c>
      <c r="F14" s="19" t="str">
        <f t="shared" si="3"/>
        <v xml:space="preserve">                                                     </v>
      </c>
      <c r="G14" s="20" t="str">
        <f t="shared" si="4"/>
        <v/>
      </c>
      <c r="H14" s="3">
        <f t="shared" si="5"/>
        <v>0</v>
      </c>
      <c r="I14" s="67" t="str">
        <f t="shared" si="6"/>
        <v/>
      </c>
      <c r="J14" s="436">
        <f t="shared" si="7"/>
        <v>53</v>
      </c>
      <c r="K14" s="433" t="str">
        <f t="shared" si="8"/>
        <v>0</v>
      </c>
      <c r="L14" s="2" t="str">
        <f t="shared" si="9"/>
        <v/>
      </c>
      <c r="M14" s="2" t="str">
        <f t="shared" si="9"/>
        <v/>
      </c>
      <c r="N14" s="2" t="str">
        <f t="shared" si="9"/>
        <v/>
      </c>
      <c r="O14" s="2" t="str">
        <f t="shared" si="9"/>
        <v/>
      </c>
      <c r="P14" s="2" t="str">
        <f t="shared" si="9"/>
        <v/>
      </c>
      <c r="Q14" s="2" t="str">
        <f t="shared" si="12"/>
        <v/>
      </c>
      <c r="R14" s="105" t="str">
        <f t="shared" si="13"/>
        <v/>
      </c>
      <c r="S14" s="105" t="str">
        <f>IF(LEFT($F14,1)="*",IF(VLOOKUP($H14,ELENCHI!$BG$24:$BO$123,5,FALSE)=LEN(R14),0,1),"")</f>
        <v/>
      </c>
      <c r="T14" s="105" t="str">
        <f>IF(S14=0,IFERROR(LEFT(R14,VLOOKUP($H14,ELENCHI!$BG$24:$CB$123,5,FALSE)-VLOOKUP($H14,ELENCHI!$BG$24:$CB$123,10,FALSE))&amp;IF(VLOOKUP($H14,ELENCHI!$BG$24:$CB$123,10,FALSE)=0,"",",")&amp;RIGHT(R14,VLOOKUP($H14,ELENCHI!$BG$24:$CB$123,10,FALSE)),""),"!!!")</f>
        <v>!!!</v>
      </c>
      <c r="U14" s="2" t="str">
        <f t="shared" si="14"/>
        <v/>
      </c>
      <c r="V14" s="2" t="str">
        <f>IF(LEFT($F14,1)="*",IF(VLOOKUP($H14,ELENCHI!$BG$24:$BO$123,6,FALSE)=LEN(U14),0,1),"")</f>
        <v/>
      </c>
      <c r="W14" s="2" t="str">
        <f>IF(V14=0,IFERROR(LEFT(U14,VLOOKUP($H14,ELENCHI!$BG$24:$CB$123,6,FALSE)-VLOOKUP($H14,ELENCHI!$BG$24:$CB$123,11,FALSE))&amp;IF(VLOOKUP($H14,ELENCHI!$BG$24:$CB$123,11,FALSE)=0,"",",")&amp;RIGHT(U14,VLOOKUP($H14,ELENCHI!$BG$24:$CB$123,11,FALSE)),""),"!!!")</f>
        <v>!!!</v>
      </c>
      <c r="X14" s="105" t="str">
        <f t="shared" si="15"/>
        <v/>
      </c>
      <c r="Y14" s="105" t="str">
        <f>IF(LEFT($F14,1)="*",IF(VLOOKUP($H14,ELENCHI!$BG$24:$BO$123,7,FALSE)=LEN(X14),0,1),"")</f>
        <v/>
      </c>
      <c r="Z14" s="105" t="str">
        <f>IF(Y14=0,IFERROR(LEFT(X14,VLOOKUP($H14,ELENCHI!$BG$24:$CB$123,7,FALSE)-VLOOKUP($H14,ELENCHI!$BG$24:$CB$123,12,FALSE))&amp;IF(VLOOKUP($H14,ELENCHI!$BG$24:$CB$123,12,FALSE)=0,"",",")&amp;RIGHT(X14,VLOOKUP($H14,ELENCHI!$BG$24:$CB$123,12,FALSE)),""),"!!!")</f>
        <v>!!!</v>
      </c>
      <c r="AA14" s="113" t="str">
        <f t="shared" si="16"/>
        <v/>
      </c>
      <c r="AB14" s="113" t="str">
        <f>IF(LEFT($F14,1)="*",IF(VLOOKUP($H14,ELENCHI!$BG$24:$BO$123,8,FALSE)=LEN(AA14),0,1),"")</f>
        <v/>
      </c>
      <c r="AC14" s="113" t="str">
        <f>IF(AB14=0,IFERROR(LEFT(AA14,VLOOKUP($H14,ELENCHI!$BG$24:$CB$123,8,FALSE)-VLOOKUP($H14,ELENCHI!$BG$24:$CB$123,13,FALSE))&amp;IF(VLOOKUP($H14,ELENCHI!$BG$24:$CB$123,13,FALSE)=0,"",",")&amp;RIGHT(AA14,VLOOKUP($H14,ELENCHI!$BG$24:$CB$123,13,FALSE)),""),"!!!")</f>
        <v>!!!</v>
      </c>
      <c r="AD14" s="105" t="str">
        <f t="shared" si="17"/>
        <v/>
      </c>
      <c r="AE14" s="105" t="str">
        <f>IF(LEFT($F14,1)="*",IF(VLOOKUP($H14,ELENCHI!$BG$24:$BO$123,9,FALSE)=LEN(AD14),0,1),"")</f>
        <v/>
      </c>
      <c r="AF14" s="105" t="str">
        <f>IF(AE14=0,IFERROR(LEFT(AD14,VLOOKUP($H14,ELENCHI!$BG$24:$CB$123,9,FALSE)-VLOOKUP($H14,ELENCHI!$BG$24:$CB$123,14,FALSE))&amp;IF(VLOOKUP($H14,ELENCHI!$BG$24:$CB$123,14,FALSE)=0,"",",")&amp;RIGHT(AD14,VLOOKUP($H14,ELENCHI!$BG$24:$CB$123,14,FALSE)),""),"!!!")</f>
        <v>!!!</v>
      </c>
      <c r="AG14" s="117">
        <f t="shared" si="18"/>
        <v>0</v>
      </c>
      <c r="AH14" s="2" t="str">
        <f>AM13&amp;IF(H14&lt;&gt;0,VLOOKUP($H14,ELENCHI!$BG$24:$CB$123,16,FALSE)&amp;T14&amp;VLOOKUP($H14,ELENCHI!$BG$24:$CB$123,17,FALSE)&amp;W14&amp;VLOOKUP($H14,ELENCHI!$BG$24:$CB$123,18,FALSE)&amp;Z14&amp;VLOOKUP($H14,ELENCHI!$BG$24:$CB$123,19,FALSE)&amp;AC14&amp;VLOOKUP($H14,ELENCHI!$BG$24:$CB$123,20,FALSE)&amp;AF14&amp;CHAR(10),I14&amp;IF(IFERROR(FIND(CHAR(10),LEFT(B14,LUNGH),1),0)&gt;0,CHAR(10),""))</f>
        <v/>
      </c>
      <c r="AI14" s="3" t="str">
        <f t="shared" si="19"/>
        <v xml:space="preserve"> </v>
      </c>
      <c r="AJ14" s="3">
        <f t="shared" si="20"/>
        <v>999</v>
      </c>
      <c r="AK14" s="3">
        <f t="shared" si="21"/>
        <v>999</v>
      </c>
      <c r="AL14" s="114" t="str">
        <f t="shared" si="22"/>
        <v xml:space="preserve">                                                     </v>
      </c>
      <c r="AM14" s="20" t="str">
        <f t="shared" si="10"/>
        <v/>
      </c>
      <c r="AN14" s="2">
        <f t="shared" si="23"/>
        <v>6</v>
      </c>
      <c r="AO14" s="462" t="str">
        <f t="shared" si="24"/>
        <v xml:space="preserve">                                                     </v>
      </c>
      <c r="AP14" s="462" t="str">
        <f t="shared" si="25"/>
        <v xml:space="preserve">6                                                            
</v>
      </c>
    </row>
    <row r="15" spans="1:42" x14ac:dyDescent="0.25">
      <c r="A15" s="2">
        <f>IF((ROW()-ROW($A$8))+SUM(STRINGA!$I$6:$M$6)&lt;=NUMRD*2+NUMRDJ,ROW()-ROW($A$8),"")</f>
        <v>7</v>
      </c>
      <c r="B15" s="14" t="str">
        <f t="shared" si="0"/>
        <v/>
      </c>
      <c r="C15" s="3" t="str">
        <f t="shared" si="1"/>
        <v xml:space="preserve"> </v>
      </c>
      <c r="D15" s="3">
        <f t="shared" si="11"/>
        <v>999</v>
      </c>
      <c r="E15" s="3">
        <f t="shared" ref="E15:E16" si="26">IFERROR(FIND(CHAR(10),B15,2)-1-IF(LEFT(B15,1)=CHAR(10),1,0),999)</f>
        <v>999</v>
      </c>
      <c r="F15" s="19" t="str">
        <f t="shared" si="3"/>
        <v xml:space="preserve">                                                     </v>
      </c>
      <c r="G15" s="20" t="str">
        <f t="shared" si="4"/>
        <v/>
      </c>
      <c r="H15" s="3">
        <f t="shared" si="5"/>
        <v>0</v>
      </c>
      <c r="I15" s="67" t="str">
        <f t="shared" si="6"/>
        <v/>
      </c>
      <c r="J15" s="436">
        <f t="shared" si="7"/>
        <v>53</v>
      </c>
      <c r="K15" s="433" t="str">
        <f t="shared" si="8"/>
        <v>0</v>
      </c>
      <c r="L15" s="2" t="str">
        <f t="shared" si="9"/>
        <v/>
      </c>
      <c r="M15" s="2" t="str">
        <f t="shared" si="9"/>
        <v/>
      </c>
      <c r="N15" s="2" t="str">
        <f t="shared" si="9"/>
        <v/>
      </c>
      <c r="O15" s="2" t="str">
        <f t="shared" si="9"/>
        <v/>
      </c>
      <c r="P15" s="2" t="str">
        <f t="shared" si="9"/>
        <v/>
      </c>
      <c r="Q15" s="2" t="str">
        <f t="shared" si="12"/>
        <v/>
      </c>
      <c r="R15" s="105" t="str">
        <f t="shared" si="13"/>
        <v/>
      </c>
      <c r="S15" s="105" t="str">
        <f>IF(LEFT($F15,1)="*",IF(VLOOKUP($H15,ELENCHI!$BG$24:$BO$123,5,FALSE)=LEN(R15),0,1),"")</f>
        <v/>
      </c>
      <c r="T15" s="105" t="str">
        <f>IF(S15=0,IFERROR(LEFT(R15,VLOOKUP($H15,ELENCHI!$BG$24:$CB$123,5,FALSE)-VLOOKUP($H15,ELENCHI!$BG$24:$CB$123,10,FALSE))&amp;IF(VLOOKUP($H15,ELENCHI!$BG$24:$CB$123,10,FALSE)=0,"",",")&amp;RIGHT(R15,VLOOKUP($H15,ELENCHI!$BG$24:$CB$123,10,FALSE)),""),"!!!")</f>
        <v>!!!</v>
      </c>
      <c r="U15" s="2" t="str">
        <f t="shared" si="14"/>
        <v/>
      </c>
      <c r="V15" s="2" t="str">
        <f>IF(LEFT($F15,1)="*",IF(VLOOKUP($H15,ELENCHI!$BG$24:$BO$123,6,FALSE)=LEN(U15),0,1),"")</f>
        <v/>
      </c>
      <c r="W15" s="2" t="str">
        <f>IF(V15=0,IFERROR(LEFT(U15,VLOOKUP($H15,ELENCHI!$BG$24:$CB$123,6,FALSE)-VLOOKUP($H15,ELENCHI!$BG$24:$CB$123,11,FALSE))&amp;IF(VLOOKUP($H15,ELENCHI!$BG$24:$CB$123,11,FALSE)=0,"",",")&amp;RIGHT(U15,VLOOKUP($H15,ELENCHI!$BG$24:$CB$123,11,FALSE)),""),"!!!")</f>
        <v>!!!</v>
      </c>
      <c r="X15" s="105" t="str">
        <f t="shared" si="15"/>
        <v/>
      </c>
      <c r="Y15" s="105" t="str">
        <f>IF(LEFT($F15,1)="*",IF(VLOOKUP($H15,ELENCHI!$BG$24:$BO$123,7,FALSE)=LEN(X15),0,1),"")</f>
        <v/>
      </c>
      <c r="Z15" s="105" t="str">
        <f>IF(Y15=0,IFERROR(LEFT(X15,VLOOKUP($H15,ELENCHI!$BG$24:$CB$123,7,FALSE)-VLOOKUP($H15,ELENCHI!$BG$24:$CB$123,12,FALSE))&amp;IF(VLOOKUP($H15,ELENCHI!$BG$24:$CB$123,12,FALSE)=0,"",",")&amp;RIGHT(X15,VLOOKUP($H15,ELENCHI!$BG$24:$CB$123,12,FALSE)),""),"!!!")</f>
        <v>!!!</v>
      </c>
      <c r="AA15" s="113" t="str">
        <f t="shared" si="16"/>
        <v/>
      </c>
      <c r="AB15" s="113" t="str">
        <f>IF(LEFT($F15,1)="*",IF(VLOOKUP($H15,ELENCHI!$BG$24:$BO$123,8,FALSE)=LEN(AA15),0,1),"")</f>
        <v/>
      </c>
      <c r="AC15" s="113" t="str">
        <f>IF(AB15=0,IFERROR(LEFT(AA15,VLOOKUP($H15,ELENCHI!$BG$24:$CB$123,8,FALSE)-VLOOKUP($H15,ELENCHI!$BG$24:$CB$123,13,FALSE))&amp;IF(VLOOKUP($H15,ELENCHI!$BG$24:$CB$123,13,FALSE)=0,"",",")&amp;RIGHT(AA15,VLOOKUP($H15,ELENCHI!$BG$24:$CB$123,13,FALSE)),""),"!!!")</f>
        <v>!!!</v>
      </c>
      <c r="AD15" s="105" t="str">
        <f t="shared" si="17"/>
        <v/>
      </c>
      <c r="AE15" s="105" t="str">
        <f>IF(LEFT($F15,1)="*",IF(VLOOKUP($H15,ELENCHI!$BG$24:$BO$123,9,FALSE)=LEN(AD15),0,1),"")</f>
        <v/>
      </c>
      <c r="AF15" s="105" t="str">
        <f>IF(AE15=0,IFERROR(LEFT(AD15,VLOOKUP($H15,ELENCHI!$BG$24:$CB$123,9,FALSE)-VLOOKUP($H15,ELENCHI!$BG$24:$CB$123,14,FALSE))&amp;IF(VLOOKUP($H15,ELENCHI!$BG$24:$CB$123,14,FALSE)=0,"",",")&amp;RIGHT(AD15,VLOOKUP($H15,ELENCHI!$BG$24:$CB$123,14,FALSE)),""),"!!!")</f>
        <v>!!!</v>
      </c>
      <c r="AG15" s="117">
        <f t="shared" si="18"/>
        <v>0</v>
      </c>
      <c r="AH15" s="2" t="str">
        <f>AM14&amp;IF(H15&lt;&gt;0,VLOOKUP($H15,ELENCHI!$BG$24:$CB$123,16,FALSE)&amp;T15&amp;VLOOKUP($H15,ELENCHI!$BG$24:$CB$123,17,FALSE)&amp;W15&amp;VLOOKUP($H15,ELENCHI!$BG$24:$CB$123,18,FALSE)&amp;Z15&amp;VLOOKUP($H15,ELENCHI!$BG$24:$CB$123,19,FALSE)&amp;AC15&amp;VLOOKUP($H15,ELENCHI!$BG$24:$CB$123,20,FALSE)&amp;AF15&amp;CHAR(10),I15&amp;IF(IFERROR(FIND(CHAR(10),LEFT(B15,LUNGH),1),0)&gt;0,CHAR(10),""))</f>
        <v/>
      </c>
      <c r="AI15" s="3" t="str">
        <f t="shared" si="19"/>
        <v xml:space="preserve"> </v>
      </c>
      <c r="AJ15" s="3">
        <f t="shared" si="20"/>
        <v>999</v>
      </c>
      <c r="AK15" s="3">
        <f t="shared" si="21"/>
        <v>999</v>
      </c>
      <c r="AL15" s="114" t="str">
        <f t="shared" si="22"/>
        <v xml:space="preserve">                                                     </v>
      </c>
      <c r="AM15" s="20" t="str">
        <f t="shared" si="10"/>
        <v/>
      </c>
      <c r="AN15" s="2">
        <f t="shared" si="23"/>
        <v>7</v>
      </c>
      <c r="AO15" s="462" t="str">
        <f t="shared" si="24"/>
        <v xml:space="preserve">                                                     </v>
      </c>
      <c r="AP15" s="462" t="str">
        <f t="shared" si="25"/>
        <v xml:space="preserve">7                                                            
</v>
      </c>
    </row>
    <row r="16" spans="1:42" x14ac:dyDescent="0.25">
      <c r="A16" s="2">
        <f>IF((ROW()-ROW($A$8))+SUM(STRINGA!$I$6:$M$6)&lt;=NUMRD*2+NUMRDJ,ROW()-ROW($A$8),"")</f>
        <v>8</v>
      </c>
      <c r="B16" s="14" t="str">
        <f t="shared" si="0"/>
        <v/>
      </c>
      <c r="C16" s="3" t="str">
        <f t="shared" si="1"/>
        <v xml:space="preserve"> </v>
      </c>
      <c r="D16" s="3">
        <f t="shared" si="11"/>
        <v>999</v>
      </c>
      <c r="E16" s="3">
        <f t="shared" si="26"/>
        <v>999</v>
      </c>
      <c r="F16" s="19" t="str">
        <f t="shared" si="3"/>
        <v xml:space="preserve">                                                     </v>
      </c>
      <c r="G16" s="20" t="str">
        <f t="shared" si="4"/>
        <v/>
      </c>
      <c r="H16" s="3">
        <f t="shared" si="5"/>
        <v>0</v>
      </c>
      <c r="I16" s="67" t="str">
        <f t="shared" si="6"/>
        <v/>
      </c>
      <c r="J16" s="436">
        <f>IF(I17&lt;&gt;"","",LEN(F16)-LEN(I16))</f>
        <v>53</v>
      </c>
      <c r="K16" s="433" t="str">
        <f t="shared" si="8"/>
        <v>0</v>
      </c>
      <c r="L16" s="2" t="str">
        <f t="shared" si="9"/>
        <v/>
      </c>
      <c r="M16" s="2" t="str">
        <f t="shared" si="9"/>
        <v/>
      </c>
      <c r="N16" s="2" t="str">
        <f t="shared" si="9"/>
        <v/>
      </c>
      <c r="O16" s="2" t="str">
        <f t="shared" si="9"/>
        <v/>
      </c>
      <c r="P16" s="2" t="str">
        <f t="shared" si="9"/>
        <v/>
      </c>
      <c r="Q16" s="2" t="str">
        <f t="shared" si="12"/>
        <v/>
      </c>
      <c r="R16" s="105" t="str">
        <f t="shared" si="13"/>
        <v/>
      </c>
      <c r="S16" s="105" t="str">
        <f>IF(LEFT($F16,1)="*",IF(VLOOKUP($H16,ELENCHI!$BG$24:$BO$123,5,FALSE)=LEN(R16),0,1),"")</f>
        <v/>
      </c>
      <c r="T16" s="105" t="str">
        <f>IF(S16=0,IFERROR(LEFT(R16,VLOOKUP($H16,ELENCHI!$BG$24:$CB$123,5,FALSE)-VLOOKUP($H16,ELENCHI!$BG$24:$CB$123,10,FALSE))&amp;IF(VLOOKUP($H16,ELENCHI!$BG$24:$CB$123,10,FALSE)=0,"",",")&amp;RIGHT(R16,VLOOKUP($H16,ELENCHI!$BG$24:$CB$123,10,FALSE)),""),"!!!")</f>
        <v>!!!</v>
      </c>
      <c r="U16" s="2" t="str">
        <f t="shared" si="14"/>
        <v/>
      </c>
      <c r="V16" s="2" t="str">
        <f>IF(LEFT($F16,1)="*",IF(VLOOKUP($H16,ELENCHI!$BG$24:$BO$123,6,FALSE)=LEN(U16),0,1),"")</f>
        <v/>
      </c>
      <c r="W16" s="2" t="str">
        <f>IF(V16=0,IFERROR(LEFT(U16,VLOOKUP($H16,ELENCHI!$BG$24:$CB$123,6,FALSE)-VLOOKUP($H16,ELENCHI!$BG$24:$CB$123,11,FALSE))&amp;IF(VLOOKUP($H16,ELENCHI!$BG$24:$CB$123,11,FALSE)=0,"",",")&amp;RIGHT(U16,VLOOKUP($H16,ELENCHI!$BG$24:$CB$123,11,FALSE)),""),"!!!")</f>
        <v>!!!</v>
      </c>
      <c r="X16" s="105" t="str">
        <f t="shared" si="15"/>
        <v/>
      </c>
      <c r="Y16" s="105" t="str">
        <f>IF(LEFT($F16,1)="*",IF(VLOOKUP($H16,ELENCHI!$BG$24:$BO$123,7,FALSE)=LEN(X16),0,1),"")</f>
        <v/>
      </c>
      <c r="Z16" s="105" t="str">
        <f>IF(Y16=0,IFERROR(LEFT(X16,VLOOKUP($H16,ELENCHI!$BG$24:$CB$123,7,FALSE)-VLOOKUP($H16,ELENCHI!$BG$24:$CB$123,12,FALSE))&amp;IF(VLOOKUP($H16,ELENCHI!$BG$24:$CB$123,12,FALSE)=0,"",",")&amp;RIGHT(X16,VLOOKUP($H16,ELENCHI!$BG$24:$CB$123,12,FALSE)),""),"!!!")</f>
        <v>!!!</v>
      </c>
      <c r="AA16" s="113" t="str">
        <f t="shared" si="16"/>
        <v/>
      </c>
      <c r="AB16" s="113" t="str">
        <f>IF(LEFT($F16,1)="*",IF(VLOOKUP($H16,ELENCHI!$BG$24:$BO$123,8,FALSE)=LEN(AA16),0,1),"")</f>
        <v/>
      </c>
      <c r="AC16" s="113" t="str">
        <f>IF(AB16=0,IFERROR(LEFT(AA16,VLOOKUP($H16,ELENCHI!$BG$24:$CB$123,8,FALSE)-VLOOKUP($H16,ELENCHI!$BG$24:$CB$123,13,FALSE))&amp;IF(VLOOKUP($H16,ELENCHI!$BG$24:$CB$123,13,FALSE)=0,"",",")&amp;RIGHT(AA16,VLOOKUP($H16,ELENCHI!$BG$24:$CB$123,13,FALSE)),""),"!!!")</f>
        <v>!!!</v>
      </c>
      <c r="AD16" s="105" t="str">
        <f t="shared" si="17"/>
        <v/>
      </c>
      <c r="AE16" s="105" t="str">
        <f>IF(LEFT($F16,1)="*",IF(VLOOKUP($H16,ELENCHI!$BG$24:$BO$123,9,FALSE)=LEN(AD16),0,1),"")</f>
        <v/>
      </c>
      <c r="AF16" s="105" t="str">
        <f>IF(AE16=0,IFERROR(LEFT(AD16,VLOOKUP($H16,ELENCHI!$BG$24:$CB$123,9,FALSE)-VLOOKUP($H16,ELENCHI!$BG$24:$CB$123,14,FALSE))&amp;IF(VLOOKUP($H16,ELENCHI!$BG$24:$CB$123,14,FALSE)=0,"",",")&amp;RIGHT(AD16,VLOOKUP($H16,ELENCHI!$BG$24:$CB$123,14,FALSE)),""),"!!!")</f>
        <v>!!!</v>
      </c>
      <c r="AG16" s="117">
        <f t="shared" si="18"/>
        <v>0</v>
      </c>
      <c r="AH16" s="2" t="str">
        <f>AM15&amp;IF(H16&lt;&gt;0,VLOOKUP($H16,ELENCHI!$BG$24:$CB$123,16,FALSE)&amp;T16&amp;VLOOKUP($H16,ELENCHI!$BG$24:$CB$123,17,FALSE)&amp;W16&amp;VLOOKUP($H16,ELENCHI!$BG$24:$CB$123,18,FALSE)&amp;Z16&amp;VLOOKUP($H16,ELENCHI!$BG$24:$CB$123,19,FALSE)&amp;AC16&amp;VLOOKUP($H16,ELENCHI!$BG$24:$CB$123,20,FALSE)&amp;AF16&amp;CHAR(10),I16&amp;IF(IFERROR(FIND(CHAR(10),LEFT(B16,LUNGH),1),0)&gt;0,CHAR(10),""))</f>
        <v/>
      </c>
      <c r="AI16" s="3" t="str">
        <f t="shared" si="19"/>
        <v xml:space="preserve"> </v>
      </c>
      <c r="AJ16" s="3">
        <f t="shared" si="20"/>
        <v>999</v>
      </c>
      <c r="AK16" s="3">
        <f t="shared" si="21"/>
        <v>999</v>
      </c>
      <c r="AL16" s="114" t="str">
        <f t="shared" si="22"/>
        <v xml:space="preserve">                                                     </v>
      </c>
      <c r="AM16" s="20" t="str">
        <f t="shared" si="10"/>
        <v/>
      </c>
      <c r="AN16" s="2">
        <f t="shared" si="23"/>
        <v>8</v>
      </c>
      <c r="AO16" s="462" t="str">
        <f t="shared" si="24"/>
        <v xml:space="preserve">                                                     </v>
      </c>
      <c r="AP16" s="462" t="str">
        <f t="shared" si="25"/>
        <v xml:space="preserve">8                                                            
</v>
      </c>
    </row>
    <row r="17" spans="1:44" x14ac:dyDescent="0.25">
      <c r="A17" s="117">
        <f>IF((ROW()-ROW($A$8))+SUM(STRINGA!$I$6:$M$6)&lt;=NUMRD*2+NUMRDJ,ROW()-ROW($A$8),"")</f>
        <v>9</v>
      </c>
      <c r="B17" s="145" t="str">
        <f t="shared" si="0"/>
        <v/>
      </c>
      <c r="C17" s="146" t="str">
        <f t="shared" ref="C17" si="27">IFERROR(FIND("*",B17)," ")</f>
        <v xml:space="preserve"> </v>
      </c>
      <c r="D17" s="146">
        <f t="shared" ref="D17" si="28">IFERROR(IF(C17=1,FIND("*",B17,C17+1),999),999)</f>
        <v>999</v>
      </c>
      <c r="E17" s="146">
        <f t="shared" ref="E17" si="29">IFERROR(FIND(CHAR(10),B17,2)-1-IF(LEFT(B17,1)=CHAR(10),1,0),999)</f>
        <v>999</v>
      </c>
      <c r="F17" s="144" t="str">
        <f t="shared" si="3"/>
        <v xml:space="preserve">                                                     </v>
      </c>
      <c r="G17" s="147" t="str">
        <f t="shared" si="4"/>
        <v/>
      </c>
      <c r="H17" s="146">
        <f t="shared" si="5"/>
        <v>0</v>
      </c>
      <c r="I17" s="143" t="str">
        <f>CLEAN(LEFT(LEFT(CLEAN(B17),MIN(D17,E17)),LUNGH))</f>
        <v/>
      </c>
      <c r="AF17" s="437" t="s">
        <v>803</v>
      </c>
      <c r="AG17" s="423">
        <f>SUM(AG9:AG16)</f>
        <v>0</v>
      </c>
      <c r="AH17" s="422" t="str">
        <f>AM16&amp;IF(H17&lt;&gt;0,VLOOKUP($H17,ELENCHI!$BG$24:$CB$123,16,FALSE)&amp;T17&amp;VLOOKUP($H17,ELENCHI!$BG$24:$CB$123,17,FALSE)&amp;W17&amp;VLOOKUP($H17,ELENCHI!$BG$24:$CB$123,18,FALSE)&amp;Z17&amp;VLOOKUP($H17,ELENCHI!$BG$24:$CB$123,19,FALSE)&amp;AC17&amp;VLOOKUP($H17,ELENCHI!$BG$24:$CB$123,20,FALSE)&amp;AF17&amp;CHAR(10),I17&amp;IF(IFERROR(FIND(CHAR(10),LEFT(B17,LUNGH),1),0)&gt;0,CHAR(10),""))</f>
        <v/>
      </c>
      <c r="AI17" s="3" t="str">
        <f>IFERROR(FIND("*",AH17)," ")</f>
        <v xml:space="preserve"> </v>
      </c>
      <c r="AJ17" s="3">
        <f t="shared" si="20"/>
        <v>999</v>
      </c>
      <c r="AK17" s="3">
        <f>IFERROR(FIND(CHAR(10),AH17,2)-1,999)</f>
        <v>999</v>
      </c>
      <c r="AL17" s="114" t="str">
        <f>IFERROR(LEFT(LEFT(CLEAN(AH17),MIN(AJ17,AK17))&amp;SPAZI,LUNGH),"!!!")</f>
        <v xml:space="preserve">                                                     </v>
      </c>
      <c r="AM17" s="20" t="str">
        <f>MID(AH17,MIN(AJ17+1,AK17+2,LUNGH+1),1000)</f>
        <v/>
      </c>
      <c r="AN17" s="463" t="s">
        <v>778</v>
      </c>
      <c r="AO17" s="463"/>
      <c r="AP17" s="463"/>
    </row>
    <row r="18" spans="1:44" x14ac:dyDescent="0.25">
      <c r="A18" s="5" t="s">
        <v>778</v>
      </c>
      <c r="B18" s="6"/>
      <c r="C18" s="8"/>
      <c r="D18" s="8"/>
      <c r="E18" s="8"/>
      <c r="F18" s="8"/>
      <c r="G18" s="8"/>
      <c r="H18" s="8"/>
      <c r="I18" s="8"/>
      <c r="J18" s="8"/>
      <c r="K18" s="8"/>
      <c r="AF18" s="613" t="s">
        <v>804</v>
      </c>
      <c r="AG18" s="611" t="str">
        <f>IFERROR(IF(AG17&gt;0,": ERRORE, LUNGHEZZA DATI ASTERISCATA","                                    "),":   ERRORE, ASTERISCATA NON IN ELENCO O ERRATA")</f>
        <v xml:space="preserve">                                    </v>
      </c>
      <c r="AH18" s="422" t="str">
        <f>AM17&amp;IF(H18&lt;&gt;0,VLOOKUP($H18,ELENCHI!$BG$24:$CB$123,16,FALSE)&amp;T18&amp;VLOOKUP($H18,ELENCHI!$BG$24:$CB$123,17,FALSE)&amp;W18&amp;VLOOKUP($H18,ELENCHI!$BG$24:$CB$123,18,FALSE)&amp;Z18&amp;VLOOKUP($H18,ELENCHI!$BG$24:$CB$123,19,FALSE)&amp;AC18&amp;VLOOKUP($H18,ELENCHI!$BG$24:$CB$123,20,FALSE)&amp;AF18&amp;CHAR(10),I18&amp;IF(IFERROR(FIND(CHAR(10),LEFT(B18,LUNGH),1),0)&gt;0,CHAR(10),""))</f>
        <v/>
      </c>
      <c r="AI18" s="3" t="str">
        <f>IFERROR(FIND("*",AH18)," ")</f>
        <v xml:space="preserve"> </v>
      </c>
      <c r="AJ18" s="3">
        <f t="shared" si="20"/>
        <v>999</v>
      </c>
      <c r="AK18" s="3">
        <f>IFERROR(FIND(CHAR(10),AH18,2)-1,999)</f>
        <v>999</v>
      </c>
      <c r="AL18" s="114" t="str">
        <f>IFERROR(LEFT(LEFT(CLEAN(AH18),MIN(AJ18,AK18))&amp;SPAZI,LUNGH),"!!!")</f>
        <v xml:space="preserve">                                                     </v>
      </c>
      <c r="AM18" s="20" t="str">
        <f>MID(AH18,MIN(AJ18+1,AK18+2,LUNGH+1),1000)</f>
        <v/>
      </c>
      <c r="AN18" s="608" t="str">
        <f>CONCATENATE(AP9,AP10,AP11,AP12,AP13,AP14,AP15,AP16,)</f>
        <v xml:space="preserve">1       PER MASSE, MASSE RIMORCHIABILI, PNEUMATICI, GANCI DI 
2       TRAINO, CARICHI VERTICALI, CARATTERISTICHE TECNICHE, 
3       ATTREZZATURE PORTATE E SEMIPORTATE, ALLESTIMENTI VARI
4       , PRESCRIZIONI,  SI VEDA L'ALLEGATO TECNICO PARTE IN 
5       TEGRANTE DELLA CARTA DI CIRCOLAZIONE.                
6                                                            
7                                                            
8                                                            
</v>
      </c>
      <c r="AO18" s="608"/>
      <c r="AP18" s="608"/>
    </row>
    <row r="19" spans="1:44" ht="42" customHeight="1" x14ac:dyDescent="0.25">
      <c r="A19" s="622" t="str">
        <f>CONCATENATE(F9,F10,F11,F12,F13,F14,F15,F16)</f>
        <v xml:space="preserve">PER MASSE, MASSE RIMORCHIABILI, PNEUMATICI, GANCI DI TRAINO, CARICHI VERTICALI, CARATTERISTICHE TECNICHE, ATTREZZATURE PORTATE E SEMIPORTATE, ALLESTIMENTI VARI, PRESCRIZIONI,  SI VEDA L'ALLEGATO TECNICO PARTE IN TEGRANTE DELLA CARTA DI CIRCOLAZIONE.                                                                                                                                                                               </v>
      </c>
      <c r="B19" s="623"/>
      <c r="C19" s="424"/>
      <c r="D19" s="424"/>
      <c r="E19" s="424"/>
      <c r="F19" s="424"/>
      <c r="G19" s="424"/>
      <c r="H19" s="424"/>
      <c r="I19" s="424"/>
      <c r="J19" s="424"/>
      <c r="K19" s="425"/>
      <c r="L19" s="8"/>
      <c r="M19" s="8"/>
      <c r="N19" s="8"/>
      <c r="O19" s="8"/>
      <c r="P19" s="8"/>
      <c r="Q19" s="8"/>
      <c r="AF19" s="613"/>
      <c r="AG19" s="611"/>
      <c r="AH19" s="422" t="str">
        <f>AM18&amp;IF(H19&lt;&gt;0,VLOOKUP($H19,ELENCHI!$BG$24:$CB$123,16,FALSE)&amp;T19&amp;VLOOKUP($H19,ELENCHI!$BG$24:$CB$123,17,FALSE)&amp;W19&amp;VLOOKUP($H19,ELENCHI!$BG$24:$CB$123,18,FALSE)&amp;Z19&amp;VLOOKUP($H19,ELENCHI!$BG$24:$CB$123,19,FALSE)&amp;AC19&amp;VLOOKUP($H19,ELENCHI!$BG$24:$CB$123,20,FALSE)&amp;AF19&amp;CHAR(10),I19&amp;IF(IFERROR(FIND(CHAR(10),LEFT(B19,LUNGH),1),0)&gt;0,CHAR(10),""))</f>
        <v/>
      </c>
      <c r="AI19" s="3" t="str">
        <f>IFERROR(FIND("*",AH19)," ")</f>
        <v xml:space="preserve"> </v>
      </c>
      <c r="AJ19" s="3">
        <f t="shared" si="20"/>
        <v>999</v>
      </c>
      <c r="AK19" s="3">
        <f>IFERROR(FIND(CHAR(10),AH19,2)-1,999)</f>
        <v>999</v>
      </c>
      <c r="AL19" s="114" t="str">
        <f>IFERROR(LEFT(LEFT(CLEAN(AH19),MIN(AJ19,AK19))&amp;SPAZI,LUNGH),"!!!")</f>
        <v xml:space="preserve">                                                     </v>
      </c>
      <c r="AM19" s="20" t="str">
        <f>MID(AH19,MIN(AJ19+1,AK19+2,LUNGH+1),1000)</f>
        <v/>
      </c>
      <c r="AN19" s="608"/>
      <c r="AO19" s="608"/>
      <c r="AP19" s="608"/>
      <c r="AQ19" s="110"/>
    </row>
    <row r="20" spans="1:44" ht="46.5" customHeight="1" x14ac:dyDescent="0.25">
      <c r="A20" s="624"/>
      <c r="B20" s="625"/>
      <c r="AF20" s="609" t="s">
        <v>805</v>
      </c>
      <c r="AG20" s="610"/>
      <c r="AH20" s="430" t="str">
        <f>CONCATENATE(AL9,AL10,AL11,AL12,AL13,AL14,AL15,AL16,AL17,AL18,AL19)</f>
        <v xml:space="preserve">PER MASSE, MASSE RIMORCHIABILI, PNEUMATICI, GANCI DI TRAINO, CARICHI VERTICALI, CARATTERISTICHE TECNICHE, ATTREZZATURE PORTATE E SEMIPORTATE, ALLESTIMENTI VARI, PRESCRIZIONI,  SI VEDA L'ALLEGATO TECNICO PARTE IN TEGRANTE DELLA CARTA DI CIRCOLAZIONE.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I20" s="429"/>
      <c r="AJ20" s="429"/>
      <c r="AK20" s="429"/>
      <c r="AL20" s="429"/>
      <c r="AM20" s="429"/>
      <c r="AN20" s="608"/>
      <c r="AO20" s="608"/>
      <c r="AP20" s="608"/>
      <c r="AQ20" s="8"/>
      <c r="AR20" s="8"/>
    </row>
    <row r="21" spans="1:44" s="8" customFormat="1" x14ac:dyDescent="0.25">
      <c r="A21"/>
      <c r="B21"/>
      <c r="C21"/>
      <c r="D21"/>
      <c r="E21"/>
      <c r="F21"/>
      <c r="G21"/>
      <c r="H21"/>
      <c r="I21"/>
      <c r="J21" s="4"/>
      <c r="K21" s="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F21" s="426"/>
      <c r="AG21" s="426"/>
      <c r="AH21" s="427"/>
      <c r="AI21" s="427"/>
      <c r="AJ21" s="427"/>
      <c r="AK21" s="427"/>
      <c r="AL21" s="427"/>
      <c r="AM21" s="427"/>
    </row>
    <row r="22" spans="1:44" s="8" customFormat="1" x14ac:dyDescent="0.25">
      <c r="A22"/>
      <c r="B22"/>
      <c r="C22"/>
      <c r="D22"/>
      <c r="E22"/>
      <c r="F22"/>
      <c r="G22"/>
      <c r="H22"/>
      <c r="I22"/>
      <c r="J22" s="4"/>
      <c r="K22" s="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F22" s="426"/>
      <c r="AG22" s="426"/>
      <c r="AH22" s="427"/>
      <c r="AI22" s="427"/>
      <c r="AJ22" s="427"/>
      <c r="AK22" s="427"/>
      <c r="AL22" s="427"/>
      <c r="AM22" s="427"/>
    </row>
    <row r="23" spans="1:44" s="8" customFormat="1" x14ac:dyDescent="0.25">
      <c r="A23"/>
      <c r="B23"/>
      <c r="C23"/>
      <c r="D23"/>
      <c r="E23"/>
      <c r="F23"/>
      <c r="G23"/>
      <c r="H23"/>
      <c r="I23"/>
      <c r="J23" s="4"/>
      <c r="K23" s="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F23" s="426"/>
      <c r="AG23" s="426"/>
      <c r="AH23" s="427"/>
      <c r="AI23" s="427"/>
      <c r="AJ23" s="427"/>
      <c r="AK23" s="427"/>
      <c r="AL23" s="427"/>
      <c r="AM23" s="427"/>
    </row>
    <row r="24" spans="1:44" s="8" customFormat="1" x14ac:dyDescent="0.25">
      <c r="A24"/>
      <c r="B24"/>
      <c r="C24"/>
      <c r="D24"/>
      <c r="E24"/>
      <c r="F24"/>
      <c r="G24"/>
      <c r="H24"/>
      <c r="I24"/>
      <c r="J24" s="4"/>
      <c r="K24" s="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F24" s="426"/>
      <c r="AG24" s="426"/>
      <c r="AH24" s="427"/>
      <c r="AI24" s="427"/>
      <c r="AJ24" s="427"/>
      <c r="AK24" s="427"/>
      <c r="AL24" s="427"/>
      <c r="AM24" s="427"/>
    </row>
    <row r="25" spans="1:44" s="8" customFormat="1" x14ac:dyDescent="0.25">
      <c r="A25"/>
      <c r="B25"/>
      <c r="C25"/>
      <c r="D25"/>
      <c r="E25"/>
      <c r="F25"/>
      <c r="G25"/>
      <c r="H25"/>
      <c r="I25"/>
      <c r="J25" s="4"/>
      <c r="K25" s="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F25" s="426"/>
      <c r="AG25" s="426"/>
      <c r="AH25" s="427"/>
      <c r="AI25" s="427"/>
      <c r="AJ25" s="427"/>
      <c r="AK25" s="427"/>
      <c r="AL25" s="427"/>
      <c r="AM25" s="427"/>
    </row>
    <row r="26" spans="1:44" s="469" customFormat="1" ht="33.75" x14ac:dyDescent="0.5">
      <c r="A26" s="466" t="s">
        <v>806</v>
      </c>
      <c r="B26" s="467"/>
      <c r="C26" s="467"/>
      <c r="D26" s="467"/>
      <c r="E26" s="467"/>
      <c r="F26" s="467"/>
      <c r="G26" s="467"/>
      <c r="H26" s="467"/>
      <c r="I26" s="467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</row>
    <row r="27" spans="1:44" x14ac:dyDescent="0.25">
      <c r="A27" s="5" t="s">
        <v>108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4" ht="137.25" customHeight="1" x14ac:dyDescent="0.25">
      <c r="A28" s="614" t="str">
        <f>UPPER(INSERIMENTO!CP7)</f>
        <v/>
      </c>
      <c r="B28" s="614"/>
      <c r="C28" s="15"/>
      <c r="D28" s="15"/>
      <c r="E28" s="15"/>
      <c r="F28" s="441"/>
      <c r="G28" s="15"/>
      <c r="I28" s="7"/>
    </row>
    <row r="29" spans="1:44" x14ac:dyDescent="0.25">
      <c r="A29" s="8"/>
      <c r="B29" s="8"/>
      <c r="F29" s="8"/>
      <c r="G29" s="8"/>
      <c r="H29" s="8"/>
      <c r="I29" s="8"/>
      <c r="J29" s="16" t="s">
        <v>770</v>
      </c>
      <c r="K29" s="106"/>
    </row>
    <row r="30" spans="1:44" x14ac:dyDescent="0.25">
      <c r="C30" s="612" t="s">
        <v>771</v>
      </c>
      <c r="D30" s="612"/>
      <c r="E30" s="612"/>
      <c r="J30" s="436">
        <f>SUM(J32:J40)-LEN(I41)</f>
        <v>424</v>
      </c>
      <c r="K30" s="615" t="s">
        <v>771</v>
      </c>
      <c r="L30" s="615"/>
      <c r="M30" s="615"/>
      <c r="N30" s="615"/>
      <c r="O30" s="615"/>
      <c r="P30" s="615"/>
      <c r="Q30" s="616"/>
      <c r="R30" s="617" t="s">
        <v>772</v>
      </c>
      <c r="S30" s="615"/>
      <c r="T30" s="615"/>
      <c r="U30" s="61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I30" s="612" t="s">
        <v>773</v>
      </c>
      <c r="AJ30" s="612"/>
      <c r="AK30" s="612"/>
      <c r="AN30" s="460" t="s">
        <v>861</v>
      </c>
      <c r="AO30" s="460"/>
      <c r="AP30" s="460"/>
    </row>
    <row r="31" spans="1:44" x14ac:dyDescent="0.25">
      <c r="A31" s="10" t="s">
        <v>774</v>
      </c>
      <c r="B31" s="9"/>
      <c r="C31" s="447" t="s">
        <v>775</v>
      </c>
      <c r="D31" s="447" t="s">
        <v>776</v>
      </c>
      <c r="E31" s="447" t="s">
        <v>777</v>
      </c>
      <c r="F31" s="447" t="s">
        <v>778</v>
      </c>
      <c r="G31" s="447" t="s">
        <v>779</v>
      </c>
      <c r="H31" s="447" t="s">
        <v>233</v>
      </c>
      <c r="I31" s="447" t="s">
        <v>780</v>
      </c>
      <c r="J31" s="434" t="s">
        <v>781</v>
      </c>
      <c r="K31" s="431">
        <v>0</v>
      </c>
      <c r="L31" s="16" t="s">
        <v>782</v>
      </c>
      <c r="M31" s="16" t="s">
        <v>783</v>
      </c>
      <c r="N31" s="16" t="s">
        <v>784</v>
      </c>
      <c r="O31" s="16" t="s">
        <v>785</v>
      </c>
      <c r="P31" s="16" t="s">
        <v>786</v>
      </c>
      <c r="Q31" s="16" t="s">
        <v>787</v>
      </c>
      <c r="R31" s="16" t="s">
        <v>782</v>
      </c>
      <c r="S31" s="16" t="s">
        <v>788</v>
      </c>
      <c r="T31" s="16" t="s">
        <v>789</v>
      </c>
      <c r="U31" s="16" t="s">
        <v>783</v>
      </c>
      <c r="V31" s="16" t="s">
        <v>790</v>
      </c>
      <c r="W31" s="16" t="s">
        <v>791</v>
      </c>
      <c r="X31" s="16" t="s">
        <v>784</v>
      </c>
      <c r="Y31" s="16" t="s">
        <v>792</v>
      </c>
      <c r="Z31" s="16" t="s">
        <v>793</v>
      </c>
      <c r="AA31" s="16" t="s">
        <v>785</v>
      </c>
      <c r="AB31" s="16" t="s">
        <v>794</v>
      </c>
      <c r="AC31" s="16" t="s">
        <v>795</v>
      </c>
      <c r="AD31" s="16" t="s">
        <v>786</v>
      </c>
      <c r="AE31" s="16" t="s">
        <v>796</v>
      </c>
      <c r="AF31" s="16" t="s">
        <v>797</v>
      </c>
      <c r="AG31" s="16" t="s">
        <v>798</v>
      </c>
      <c r="AH31" s="16" t="s">
        <v>799</v>
      </c>
      <c r="AI31" s="447" t="s">
        <v>775</v>
      </c>
      <c r="AJ31" s="447" t="s">
        <v>776</v>
      </c>
      <c r="AK31" s="447" t="s">
        <v>777</v>
      </c>
      <c r="AL31" s="447" t="s">
        <v>800</v>
      </c>
      <c r="AM31" s="447" t="s">
        <v>801</v>
      </c>
      <c r="AN31" s="461" t="s">
        <v>862</v>
      </c>
      <c r="AO31" s="461" t="s">
        <v>863</v>
      </c>
      <c r="AP31" s="461" t="s">
        <v>864</v>
      </c>
    </row>
    <row r="32" spans="1:44" x14ac:dyDescent="0.25">
      <c r="A32" s="2">
        <f>IF((ROW()-ROW($A$32))+SUM(STRINGA!$I$7:$M$7)&lt;=NUMRD*2+NUMRDJ,ROW()-ROW($A$32),"")</f>
        <v>0</v>
      </c>
      <c r="B32" s="11" t="s">
        <v>802</v>
      </c>
      <c r="C32" s="13"/>
      <c r="D32" s="13"/>
      <c r="E32" s="13"/>
      <c r="F32" s="13"/>
      <c r="G32" s="13"/>
      <c r="H32" s="12"/>
      <c r="I32" s="2"/>
      <c r="J32" s="436"/>
      <c r="K32" s="43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341"/>
      <c r="AN32" s="13"/>
      <c r="AO32" s="13"/>
      <c r="AP32" s="13"/>
    </row>
    <row r="33" spans="1:45" x14ac:dyDescent="0.25">
      <c r="A33" s="2">
        <f>IF((ROW()-ROW($A$32))+SUM(STRINGA!$I$7:$M$7)&lt;=NUMRD*2+NUMRDJ,ROW()-ROW($A$32),"")</f>
        <v>1</v>
      </c>
      <c r="B33" s="14" t="str">
        <f t="shared" ref="B33:B41" si="30">IF(OR(LEFT(IFERROR(G32&amp;MID($A$28,(A32)*LUNGH+1,LUNGH),""),1)=CHAR(10),LEFT(IFERROR(G32&amp;MID($A$28,(A32)*LUNGH+1,LUNGH),""),1)=" "),MID(IFERROR(G32&amp;MID($A$28,(A32)*LUNGH+1,LUNGH),""),2,999),IFERROR(G32&amp;MID($A$28,(A32)*LUNGH+1,LUNGH),""))</f>
        <v/>
      </c>
      <c r="C33" s="3" t="str">
        <f>IFERROR(FIND("*",B33)," ")</f>
        <v xml:space="preserve"> </v>
      </c>
      <c r="D33" s="3">
        <f>IFERROR(IF(C33=1,FIND("*",B33,C33+1),999),999)</f>
        <v>999</v>
      </c>
      <c r="E33" s="3">
        <f t="shared" ref="E33:E37" si="31">IFERROR(FIND(CHAR(10),B33,2)-1-IF(LEFT(B33,1)=CHAR(10),1,0),999)</f>
        <v>999</v>
      </c>
      <c r="F33" s="19" t="str">
        <f t="shared" ref="F33:F41" si="32">IF(A33&lt;&gt;"",LEFT(LEFT(CLEAN(B33),MIN(D33,E33))&amp;SPAZI,LUNGH),"")</f>
        <v xml:space="preserve">                                                     </v>
      </c>
      <c r="G33" s="20" t="str">
        <f t="shared" ref="G33:G41" si="33">MID(B33,MIN(D33+1,E33+2,LUNGH+1+IF(E33=LUNGH,1,0)+IF(LEFT(B33,1)=CHAR(10),1,0)),1000)</f>
        <v/>
      </c>
      <c r="H33" s="3">
        <f t="shared" ref="H33:H41" si="34">IF(IFERROR(LEFT(F33,MIN(IFERROR(FIND("=",F33,2)-1,1000),FIND("*",F33,2)-1)),0)="*SOSPE",LEFT(F33,8),IFERROR(IF(C33=1,LEFT(F33,MIN(IFERROR(FIND("=",F33,2)-1,1000),FIND("*",F33,2)-1)),0),0))</f>
        <v>0</v>
      </c>
      <c r="I33" s="2" t="str">
        <f t="shared" ref="I33:I40" si="35">CLEAN(LEFT(LEFT(CLEAN(B33),MIN(D33,E33)),LUNGH))</f>
        <v/>
      </c>
      <c r="J33" s="436">
        <f t="shared" ref="J33:J39" si="36">IF(I34&lt;&gt;"","",LEN(F33)-LEN(I33))</f>
        <v>53</v>
      </c>
      <c r="K33" s="433" t="str">
        <f t="shared" ref="K33:K40" si="37">"0"</f>
        <v>0</v>
      </c>
      <c r="L33" s="2" t="str">
        <f t="shared" ref="L33:P40" si="38">IF(LEFT($F33,1)="*",IFERROR(FIND("=",$F33,K33+1),$D33),"")</f>
        <v/>
      </c>
      <c r="M33" s="2" t="str">
        <f t="shared" si="38"/>
        <v/>
      </c>
      <c r="N33" s="2" t="str">
        <f t="shared" si="38"/>
        <v/>
      </c>
      <c r="O33" s="2" t="str">
        <f t="shared" si="38"/>
        <v/>
      </c>
      <c r="P33" s="2" t="str">
        <f t="shared" si="38"/>
        <v/>
      </c>
      <c r="Q33" s="2" t="str">
        <f>IF(LEFT($F33,1)="*",IFERROR(FIND("=",$F33,O33+1),$D33),"")</f>
        <v/>
      </c>
      <c r="R33" s="105" t="str">
        <f>IF(LEFT($H33,6)="*SOSPE"," ",IF(LEFT($F33,1)="*",MID($F33,L33+1,MAX(M33-L33-1,0)),""))</f>
        <v/>
      </c>
      <c r="S33" s="105" t="str">
        <f>IF(LEFT($F33,1)="*",IF(VLOOKUP($H33,ELENCHI!$BG$24:$BO$123,5,FALSE)=LEN(R33),0,1),"")</f>
        <v/>
      </c>
      <c r="T33" s="105" t="str">
        <f>IF(S33=0,IFERROR(LEFT(R33,VLOOKUP($H33,ELENCHI!$BG$24:$CB$123,5,FALSE)-VLOOKUP($H33,ELENCHI!$BG$24:$CB$123,10,FALSE))&amp;IF(VLOOKUP($H33,ELENCHI!$BG$24:$CB$123,10,FALSE)=0,"",",")&amp;RIGHT(R33,VLOOKUP($H33,ELENCHI!$BG$24:$CB$123,10,FALSE)),""),"!!!")</f>
        <v>!!!</v>
      </c>
      <c r="U33" s="2" t="str">
        <f>IF(LEFT($F33,1)="*",MID($F33,M33+1,MAX(N33-M33-1,0)),"")</f>
        <v/>
      </c>
      <c r="V33" s="2" t="str">
        <f>IF(LEFT($F33,1)="*",IF(VLOOKUP($H33,ELENCHI!$BG$24:$BO$123,6,FALSE)=LEN(U33),0,1),"")</f>
        <v/>
      </c>
      <c r="W33" s="2" t="str">
        <f>IF(V33=0,IFERROR(LEFT(U33,VLOOKUP($H33,ELENCHI!$BG$24:$CB$123,6,FALSE)-VLOOKUP($H33,ELENCHI!$BG$24:$CB$123,11,FALSE))&amp;IF(VLOOKUP($H33,ELENCHI!$BG$24:$CB$123,11,FALSE)=0,"",",")&amp;RIGHT(U33,VLOOKUP($H33,ELENCHI!$BG$24:$CB$123,11,FALSE)),""),"!!!")</f>
        <v>!!!</v>
      </c>
      <c r="X33" s="105" t="str">
        <f>IF(LEFT($F33,1)="*",MID($F33,N33+1,MAX(O33-N33-1,0)),"")</f>
        <v/>
      </c>
      <c r="Y33" s="105" t="str">
        <f>IF(LEFT($F33,1)="*",IF(VLOOKUP($H33,ELENCHI!$BG$24:$BO$123,7,FALSE)=LEN(X33),0,1),"")</f>
        <v/>
      </c>
      <c r="Z33" s="105" t="str">
        <f>IF(Y33=0,IFERROR(LEFT(X33,VLOOKUP($H33,ELENCHI!$BG$24:$CB$123,7,FALSE)-VLOOKUP($H33,ELENCHI!$BG$24:$CB$123,12,FALSE))&amp;IF(VLOOKUP($H33,ELENCHI!$BG$24:$CB$123,12,FALSE)=0,"",",")&amp;RIGHT(X33,VLOOKUP($H33,ELENCHI!$BG$24:$CB$123,12,FALSE)),""),"!!!")</f>
        <v>!!!</v>
      </c>
      <c r="AA33" s="113" t="str">
        <f>IF(LEFT($F33,1)="*",MID($F33,O33+1,MAX(P33-O33-1,0)),"")</f>
        <v/>
      </c>
      <c r="AB33" s="113" t="str">
        <f>IF(LEFT($F33,1)="*",IF(VLOOKUP($H33,ELENCHI!$BG$24:$BO$123,8,FALSE)=LEN(AA33),0,1),"")</f>
        <v/>
      </c>
      <c r="AC33" s="113" t="str">
        <f>IF(AB33=0,IFERROR(LEFT(AA33,VLOOKUP($H33,ELENCHI!$BG$24:$CB$123,8,FALSE)-VLOOKUP($H33,ELENCHI!$BG$24:$CB$123,13,FALSE))&amp;IF(VLOOKUP($H33,ELENCHI!$BG$24:$CB$123,13,FALSE)=0,"",",")&amp;RIGHT(AA33,VLOOKUP($H33,ELENCHI!$BG$24:$CB$123,13,FALSE)),""),"!!!")</f>
        <v>!!!</v>
      </c>
      <c r="AD33" s="105" t="str">
        <f>IF(LEFT($F33,1)="*",MID($F33,P33+1,MAX(Q33-P33-1,0)),"")</f>
        <v/>
      </c>
      <c r="AE33" s="105" t="str">
        <f>IF(LEFT($F33,1)="*",IF(VLOOKUP($H33,ELENCHI!$BG$24:$BO$123,9,FALSE)=LEN(AD33),0,1),"")</f>
        <v/>
      </c>
      <c r="AF33" s="105" t="str">
        <f>IF(AE33=0,IFERROR(LEFT(AD33,VLOOKUP($H33,ELENCHI!$BG$24:$CB$123,9,FALSE)-VLOOKUP($H33,ELENCHI!$BG$24:$CB$123,14,FALSE))&amp;IF(VLOOKUP($H33,ELENCHI!$BG$24:$CB$123,14,FALSE)=0,"",",")&amp;RIGHT(AD33,VLOOKUP($H33,ELENCHI!$BG$24:$CB$123,14,FALSE)),""),"!!!")</f>
        <v>!!!</v>
      </c>
      <c r="AG33" s="117">
        <f>SUM(S33,V33,Y33,AB33,AE33)</f>
        <v>0</v>
      </c>
      <c r="AH33" s="2" t="str">
        <f>AM32&amp;IF(H33&lt;&gt;0,VLOOKUP($H33,ELENCHI!$BG$24:$CB$123,16,FALSE)&amp;T33&amp;VLOOKUP($H33,ELENCHI!$BG$24:$CB$123,17,FALSE)&amp;W33&amp;VLOOKUP($H33,ELENCHI!$BG$24:$CB$123,18,FALSE)&amp;Z33&amp;VLOOKUP($H33,ELENCHI!$BG$24:$CB$123,19,FALSE)&amp;AC33&amp;VLOOKUP($H33,ELENCHI!$BG$24:$CB$123,20,FALSE)&amp;AF33&amp;CHAR(10),I33&amp;IF(IFERROR(FIND(CHAR(10),LEFT(B33,LUNGH),1),0)&gt;0,CHAR(10),""))</f>
        <v/>
      </c>
      <c r="AI33" s="3" t="str">
        <f>IFERROR(FIND("*",AH33)," ")</f>
        <v xml:space="preserve"> </v>
      </c>
      <c r="AJ33" s="3">
        <f>IFERROR(IF(AI33=1,FIND("*",AH33,AI33+1),999),999)</f>
        <v>999</v>
      </c>
      <c r="AK33" s="3">
        <f>IFERROR(FIND(CHAR(10),AH33,2)-1,999)</f>
        <v>999</v>
      </c>
      <c r="AL33" s="114" t="str">
        <f t="shared" ref="AL33:AL43" si="39">IFERROR(LEFT(LEFT(CLEAN(AH33),MIN(AJ33,AK33))&amp;SPAZI,LUNGH),"!!!")</f>
        <v xml:space="preserve">                                                     </v>
      </c>
      <c r="AM33" s="20" t="str">
        <f t="shared" ref="AM33:AM43" si="40">MID(AH33,MIN(AJ33+1,AK33+2,LUNGH+1),1000)</f>
        <v/>
      </c>
      <c r="AN33" s="2">
        <f>A33</f>
        <v>1</v>
      </c>
      <c r="AO33" s="462" t="str">
        <f>IF(AN33&lt;&gt;"",F33,"------  RIGA OCCUPATA DA PRESCRIZIONI TECNICHE ------")</f>
        <v xml:space="preserve">                                                     </v>
      </c>
      <c r="AP33" s="462" t="str">
        <f>AN33&amp;"       "&amp;AO33&amp;CHAR(10)</f>
        <v xml:space="preserve">1                                                            
</v>
      </c>
    </row>
    <row r="34" spans="1:45" x14ac:dyDescent="0.25">
      <c r="A34" s="2">
        <f>IF((ROW()-ROW($A$32))+SUM(STRINGA!$I$7:$M$7)&lt;=NUMRD*2+NUMRDJ,ROW()-ROW($A$32),"")</f>
        <v>2</v>
      </c>
      <c r="B34" s="14" t="str">
        <f t="shared" si="30"/>
        <v/>
      </c>
      <c r="C34" s="3" t="str">
        <f t="shared" ref="C34:C41" si="41">IFERROR(FIND("*",B34)," ")</f>
        <v xml:space="preserve"> </v>
      </c>
      <c r="D34" s="3">
        <f t="shared" ref="D34:D41" si="42">IFERROR(IF(C34=1,FIND("*",B34,C34+1),999),999)</f>
        <v>999</v>
      </c>
      <c r="E34" s="3">
        <f t="shared" si="31"/>
        <v>999</v>
      </c>
      <c r="F34" s="19" t="str">
        <f t="shared" si="32"/>
        <v xml:space="preserve">                                                     </v>
      </c>
      <c r="G34" s="20" t="str">
        <f t="shared" si="33"/>
        <v/>
      </c>
      <c r="H34" s="3">
        <f t="shared" si="34"/>
        <v>0</v>
      </c>
      <c r="I34" s="2" t="str">
        <f t="shared" si="35"/>
        <v/>
      </c>
      <c r="J34" s="436">
        <f t="shared" si="36"/>
        <v>53</v>
      </c>
      <c r="K34" s="433" t="str">
        <f t="shared" si="37"/>
        <v>0</v>
      </c>
      <c r="L34" s="2" t="str">
        <f t="shared" si="38"/>
        <v/>
      </c>
      <c r="M34" s="2" t="str">
        <f t="shared" si="38"/>
        <v/>
      </c>
      <c r="N34" s="2" t="str">
        <f t="shared" si="38"/>
        <v/>
      </c>
      <c r="O34" s="2" t="str">
        <f t="shared" si="38"/>
        <v/>
      </c>
      <c r="P34" s="2" t="str">
        <f t="shared" si="38"/>
        <v/>
      </c>
      <c r="Q34" s="2" t="str">
        <f t="shared" ref="Q34:Q40" si="43">IF(LEFT($F34,1)="*",IFERROR(FIND("=",$F34,O34+1),$D34),"")</f>
        <v/>
      </c>
      <c r="R34" s="105" t="str">
        <f t="shared" ref="R34:R40" si="44">IF(LEFT($H34,6)="*SOSPE"," ",IF(LEFT($F34,1)="*",MID($F34,L34+1,MAX(M34-L34-1,0)),""))</f>
        <v/>
      </c>
      <c r="S34" s="105" t="str">
        <f>IF(LEFT($F34,1)="*",IF(VLOOKUP($H34,ELENCHI!$BG$24:$BO$123,5,FALSE)=LEN(R34),0,1),"")</f>
        <v/>
      </c>
      <c r="T34" s="105" t="str">
        <f>IF(S34=0,IFERROR(LEFT(R34,VLOOKUP($H34,ELENCHI!$BG$24:$CB$123,5,FALSE)-VLOOKUP($H34,ELENCHI!$BG$24:$CB$123,10,FALSE))&amp;IF(VLOOKUP($H34,ELENCHI!$BG$24:$CB$123,10,FALSE)=0,"",",")&amp;RIGHT(R34,VLOOKUP($H34,ELENCHI!$BG$24:$CB$123,10,FALSE)),""),"!!!")</f>
        <v>!!!</v>
      </c>
      <c r="U34" s="2" t="str">
        <f t="shared" ref="U34:U40" si="45">IF(LEFT($F34,1)="*",MID($F34,M34+1,MAX(N34-M34-1,0)),"")</f>
        <v/>
      </c>
      <c r="V34" s="2" t="str">
        <f>IF(LEFT($F34,1)="*",IF(VLOOKUP($H34,ELENCHI!$BG$24:$BO$123,6,FALSE)=LEN(U34),0,1),"")</f>
        <v/>
      </c>
      <c r="W34" s="2" t="str">
        <f>IF(V34=0,IFERROR(LEFT(U34,VLOOKUP($H34,ELENCHI!$BG$24:$CB$123,6,FALSE)-VLOOKUP($H34,ELENCHI!$BG$24:$CB$123,11,FALSE))&amp;IF(VLOOKUP($H34,ELENCHI!$BG$24:$CB$123,11,FALSE)=0,"",",")&amp;RIGHT(U34,VLOOKUP($H34,ELENCHI!$BG$24:$CB$123,11,FALSE)),""),"!!!")</f>
        <v>!!!</v>
      </c>
      <c r="X34" s="105" t="str">
        <f t="shared" ref="X34:X40" si="46">IF(LEFT($F34,1)="*",MID($F34,N34+1,MAX(O34-N34-1,0)),"")</f>
        <v/>
      </c>
      <c r="Y34" s="105" t="str">
        <f>IF(LEFT($F34,1)="*",IF(VLOOKUP($H34,ELENCHI!$BG$24:$BO$123,7,FALSE)=LEN(X34),0,1),"")</f>
        <v/>
      </c>
      <c r="Z34" s="105" t="str">
        <f>IF(Y34=0,IFERROR(LEFT(X34,VLOOKUP($H34,ELENCHI!$BG$24:$CB$123,7,FALSE)-VLOOKUP($H34,ELENCHI!$BG$24:$CB$123,12,FALSE))&amp;IF(VLOOKUP($H34,ELENCHI!$BG$24:$CB$123,12,FALSE)=0,"",",")&amp;RIGHT(X34,VLOOKUP($H34,ELENCHI!$BG$24:$CB$123,12,FALSE)),""),"!!!")</f>
        <v>!!!</v>
      </c>
      <c r="AA34" s="113" t="str">
        <f t="shared" ref="AA34:AA40" si="47">IF(LEFT($F34,1)="*",MID($F34,O34+1,MAX(P34-O34-1,0)),"")</f>
        <v/>
      </c>
      <c r="AB34" s="113" t="str">
        <f>IF(LEFT($F34,1)="*",IF(VLOOKUP($H34,ELENCHI!$BG$24:$BO$123,8,FALSE)=LEN(AA34),0,1),"")</f>
        <v/>
      </c>
      <c r="AC34" s="113" t="str">
        <f>IF(AB34=0,IFERROR(LEFT(AA34,VLOOKUP($H34,ELENCHI!$BG$24:$CB$123,8,FALSE)-VLOOKUP($H34,ELENCHI!$BG$24:$CB$123,13,FALSE))&amp;IF(VLOOKUP($H34,ELENCHI!$BG$24:$CB$123,13,FALSE)=0,"",",")&amp;RIGHT(AA34,VLOOKUP($H34,ELENCHI!$BG$24:$CB$123,13,FALSE)),""),"!!!")</f>
        <v>!!!</v>
      </c>
      <c r="AD34" s="105" t="str">
        <f t="shared" ref="AD34:AD40" si="48">IF(LEFT($F34,1)="*",MID($F34,P34+1,MAX(Q34-P34-1,0)),"")</f>
        <v/>
      </c>
      <c r="AE34" s="105" t="str">
        <f>IF(LEFT($F34,1)="*",IF(VLOOKUP($H34,ELENCHI!$BG$24:$BO$123,9,FALSE)=LEN(AD34),0,1),"")</f>
        <v/>
      </c>
      <c r="AF34" s="105" t="str">
        <f>IF(AE34=0,IFERROR(LEFT(AD34,VLOOKUP($H34,ELENCHI!$BG$24:$CB$123,9,FALSE)-VLOOKUP($H34,ELENCHI!$BG$24:$CB$123,14,FALSE))&amp;IF(VLOOKUP($H34,ELENCHI!$BG$24:$CB$123,14,FALSE)=0,"",",")&amp;RIGHT(AD34,VLOOKUP($H34,ELENCHI!$BG$24:$CB$123,14,FALSE)),""),"!!!")</f>
        <v>!!!</v>
      </c>
      <c r="AG34" s="117">
        <f t="shared" ref="AG34:AG40" si="49">SUM(S34,V34,Y34,AB34,AE34)</f>
        <v>0</v>
      </c>
      <c r="AH34" s="2" t="str">
        <f>AM33&amp;IF(H34&lt;&gt;0,VLOOKUP($H34,ELENCHI!$BG$24:$CB$123,16,FALSE)&amp;T34&amp;VLOOKUP($H34,ELENCHI!$BG$24:$CB$123,17,FALSE)&amp;W34&amp;VLOOKUP($H34,ELENCHI!$BG$24:$CB$123,18,FALSE)&amp;Z34&amp;VLOOKUP($H34,ELENCHI!$BG$24:$CB$123,19,FALSE)&amp;AC34&amp;VLOOKUP($H34,ELENCHI!$BG$24:$CB$123,20,FALSE)&amp;AF34&amp;CHAR(10),I34&amp;IF(IFERROR(FIND(CHAR(10),LEFT(B34,LUNGH),1),0)&gt;0,CHAR(10),""))</f>
        <v/>
      </c>
      <c r="AI34" s="3" t="str">
        <f t="shared" ref="AI34:AI43" si="50">IFERROR(FIND("*",AH34)," ")</f>
        <v xml:space="preserve"> </v>
      </c>
      <c r="AJ34" s="3">
        <f t="shared" ref="AJ34:AJ43" si="51">IFERROR(IF(AI34=1,FIND("*",AH34,AI34+1),999),999)</f>
        <v>999</v>
      </c>
      <c r="AK34" s="3">
        <f t="shared" ref="AK34:AK43" si="52">IFERROR(FIND(CHAR(10),AH34,2)-1,999)</f>
        <v>999</v>
      </c>
      <c r="AL34" s="114" t="str">
        <f t="shared" si="39"/>
        <v xml:space="preserve">                                                     </v>
      </c>
      <c r="AM34" s="20" t="str">
        <f t="shared" si="40"/>
        <v/>
      </c>
      <c r="AN34" s="2">
        <f t="shared" ref="AN34:AN40" si="53">A34</f>
        <v>2</v>
      </c>
      <c r="AO34" s="462" t="str">
        <f t="shared" ref="AO34:AO40" si="54">IF(AN34&lt;&gt;"",F34,"------  RIGA OCCUPATA DA PRESCRIZIONI TECNICHE ------")</f>
        <v xml:space="preserve">                                                     </v>
      </c>
      <c r="AP34" s="462" t="str">
        <f t="shared" ref="AP34:AP40" si="55">AN34&amp;"       "&amp;AO34&amp;CHAR(10)</f>
        <v xml:space="preserve">2                                                            
</v>
      </c>
    </row>
    <row r="35" spans="1:45" x14ac:dyDescent="0.25">
      <c r="A35" s="2">
        <f>IF((ROW()-ROW($A$32))+SUM(STRINGA!$I$7:$M$7)&lt;=NUMRD*2+NUMRDJ,ROW()-ROW($A$32),"")</f>
        <v>3</v>
      </c>
      <c r="B35" s="14" t="str">
        <f t="shared" si="30"/>
        <v/>
      </c>
      <c r="C35" s="3" t="str">
        <f t="shared" si="41"/>
        <v xml:space="preserve"> </v>
      </c>
      <c r="D35" s="3">
        <f t="shared" si="42"/>
        <v>999</v>
      </c>
      <c r="E35" s="3">
        <f t="shared" si="31"/>
        <v>999</v>
      </c>
      <c r="F35" s="19" t="str">
        <f t="shared" si="32"/>
        <v xml:space="preserve">                                                     </v>
      </c>
      <c r="G35" s="20" t="str">
        <f t="shared" si="33"/>
        <v/>
      </c>
      <c r="H35" s="3">
        <f t="shared" si="34"/>
        <v>0</v>
      </c>
      <c r="I35" s="2" t="str">
        <f t="shared" si="35"/>
        <v/>
      </c>
      <c r="J35" s="436">
        <f t="shared" si="36"/>
        <v>53</v>
      </c>
      <c r="K35" s="433" t="str">
        <f t="shared" si="37"/>
        <v>0</v>
      </c>
      <c r="L35" s="2" t="str">
        <f t="shared" si="38"/>
        <v/>
      </c>
      <c r="M35" s="2" t="str">
        <f t="shared" si="38"/>
        <v/>
      </c>
      <c r="N35" s="2" t="str">
        <f t="shared" si="38"/>
        <v/>
      </c>
      <c r="O35" s="2" t="str">
        <f t="shared" si="38"/>
        <v/>
      </c>
      <c r="P35" s="2" t="str">
        <f t="shared" si="38"/>
        <v/>
      </c>
      <c r="Q35" s="2" t="str">
        <f t="shared" si="43"/>
        <v/>
      </c>
      <c r="R35" s="105" t="str">
        <f t="shared" si="44"/>
        <v/>
      </c>
      <c r="S35" s="105" t="str">
        <f>IF(LEFT($F35,1)="*",IF(VLOOKUP($H35,ELENCHI!$BG$24:$BO$123,5,FALSE)=LEN(R35),0,1),"")</f>
        <v/>
      </c>
      <c r="T35" s="105" t="str">
        <f>IF(S35=0,IFERROR(LEFT(R35,VLOOKUP($H35,ELENCHI!$BG$24:$CB$123,5,FALSE)-VLOOKUP($H35,ELENCHI!$BG$24:$CB$123,10,FALSE))&amp;IF(VLOOKUP($H35,ELENCHI!$BG$24:$CB$123,10,FALSE)=0,"",",")&amp;RIGHT(R35,VLOOKUP($H35,ELENCHI!$BG$24:$CB$123,10,FALSE)),""),"!!!")</f>
        <v>!!!</v>
      </c>
      <c r="U35" s="2" t="str">
        <f t="shared" si="45"/>
        <v/>
      </c>
      <c r="V35" s="2" t="str">
        <f>IF(LEFT($F35,1)="*",IF(VLOOKUP($H35,ELENCHI!$BG$24:$BO$123,6,FALSE)=LEN(U35),0,1),"")</f>
        <v/>
      </c>
      <c r="W35" s="2" t="str">
        <f>IF(V35=0,IFERROR(LEFT(U35,VLOOKUP($H35,ELENCHI!$BG$24:$CB$123,6,FALSE)-VLOOKUP($H35,ELENCHI!$BG$24:$CB$123,11,FALSE))&amp;IF(VLOOKUP($H35,ELENCHI!$BG$24:$CB$123,11,FALSE)=0,"",",")&amp;RIGHT(U35,VLOOKUP($H35,ELENCHI!$BG$24:$CB$123,11,FALSE)),""),"!!!")</f>
        <v>!!!</v>
      </c>
      <c r="X35" s="105" t="str">
        <f t="shared" si="46"/>
        <v/>
      </c>
      <c r="Y35" s="105" t="str">
        <f>IF(LEFT($F35,1)="*",IF(VLOOKUP($H35,ELENCHI!$BG$24:$BO$123,7,FALSE)=LEN(X35),0,1),"")</f>
        <v/>
      </c>
      <c r="Z35" s="105" t="str">
        <f>IF(Y35=0,IFERROR(LEFT(X35,VLOOKUP($H35,ELENCHI!$BG$24:$CB$123,7,FALSE)-VLOOKUP($H35,ELENCHI!$BG$24:$CB$123,12,FALSE))&amp;IF(VLOOKUP($H35,ELENCHI!$BG$24:$CB$123,12,FALSE)=0,"",",")&amp;RIGHT(X35,VLOOKUP($H35,ELENCHI!$BG$24:$CB$123,12,FALSE)),""),"!!!")</f>
        <v>!!!</v>
      </c>
      <c r="AA35" s="113" t="str">
        <f t="shared" si="47"/>
        <v/>
      </c>
      <c r="AB35" s="113" t="str">
        <f>IF(LEFT($F35,1)="*",IF(VLOOKUP($H35,ELENCHI!$BG$24:$BO$123,8,FALSE)=LEN(AA35),0,1),"")</f>
        <v/>
      </c>
      <c r="AC35" s="113" t="str">
        <f>IF(AB35=0,IFERROR(LEFT(AA35,VLOOKUP($H35,ELENCHI!$BG$24:$CB$123,8,FALSE)-VLOOKUP($H35,ELENCHI!$BG$24:$CB$123,13,FALSE))&amp;IF(VLOOKUP($H35,ELENCHI!$BG$24:$CB$123,13,FALSE)=0,"",",")&amp;RIGHT(AA35,VLOOKUP($H35,ELENCHI!$BG$24:$CB$123,13,FALSE)),""),"!!!")</f>
        <v>!!!</v>
      </c>
      <c r="AD35" s="105" t="str">
        <f t="shared" si="48"/>
        <v/>
      </c>
      <c r="AE35" s="105" t="str">
        <f>IF(LEFT($F35,1)="*",IF(VLOOKUP($H35,ELENCHI!$BG$24:$BO$123,9,FALSE)=LEN(AD35),0,1),"")</f>
        <v/>
      </c>
      <c r="AF35" s="105" t="str">
        <f>IF(AE35=0,IFERROR(LEFT(AD35,VLOOKUP($H35,ELENCHI!$BG$24:$CB$123,9,FALSE)-VLOOKUP($H35,ELENCHI!$BG$24:$CB$123,14,FALSE))&amp;IF(VLOOKUP($H35,ELENCHI!$BG$24:$CB$123,14,FALSE)=0,"",",")&amp;RIGHT(AD35,VLOOKUP($H35,ELENCHI!$BG$24:$CB$123,14,FALSE)),""),"!!!")</f>
        <v>!!!</v>
      </c>
      <c r="AG35" s="117">
        <f t="shared" si="49"/>
        <v>0</v>
      </c>
      <c r="AH35" s="2" t="str">
        <f>AM34&amp;IF(H35&lt;&gt;0,VLOOKUP($H35,ELENCHI!$BG$24:$CB$123,16,FALSE)&amp;T35&amp;VLOOKUP($H35,ELENCHI!$BG$24:$CB$123,17,FALSE)&amp;W35&amp;VLOOKUP($H35,ELENCHI!$BG$24:$CB$123,18,FALSE)&amp;Z35&amp;VLOOKUP($H35,ELENCHI!$BG$24:$CB$123,19,FALSE)&amp;AC35&amp;VLOOKUP($H35,ELENCHI!$BG$24:$CB$123,20,FALSE)&amp;AF35&amp;CHAR(10),I35&amp;IF(IFERROR(FIND(CHAR(10),LEFT(B35,LUNGH),1),0)&gt;0,CHAR(10),""))</f>
        <v/>
      </c>
      <c r="AI35" s="3" t="str">
        <f t="shared" si="50"/>
        <v xml:space="preserve"> </v>
      </c>
      <c r="AJ35" s="3">
        <f t="shared" si="51"/>
        <v>999</v>
      </c>
      <c r="AK35" s="3">
        <f t="shared" si="52"/>
        <v>999</v>
      </c>
      <c r="AL35" s="114" t="str">
        <f t="shared" si="39"/>
        <v xml:space="preserve">                                                     </v>
      </c>
      <c r="AM35" s="20" t="str">
        <f t="shared" si="40"/>
        <v/>
      </c>
      <c r="AN35" s="2">
        <f t="shared" si="53"/>
        <v>3</v>
      </c>
      <c r="AO35" s="462" t="str">
        <f t="shared" si="54"/>
        <v xml:space="preserve">                                                     </v>
      </c>
      <c r="AP35" s="462" t="str">
        <f t="shared" si="55"/>
        <v xml:space="preserve">3                                                            
</v>
      </c>
    </row>
    <row r="36" spans="1:45" x14ac:dyDescent="0.25">
      <c r="A36" s="2">
        <f>IF((ROW()-ROW($A$32))+SUM(STRINGA!$I$7:$M$7)&lt;=NUMRD*2+NUMRDJ,ROW()-ROW($A$32),"")</f>
        <v>4</v>
      </c>
      <c r="B36" s="14" t="str">
        <f t="shared" si="30"/>
        <v/>
      </c>
      <c r="C36" s="3" t="str">
        <f t="shared" si="41"/>
        <v xml:space="preserve"> </v>
      </c>
      <c r="D36" s="3">
        <f t="shared" si="42"/>
        <v>999</v>
      </c>
      <c r="E36" s="3">
        <f t="shared" si="31"/>
        <v>999</v>
      </c>
      <c r="F36" s="19" t="str">
        <f t="shared" si="32"/>
        <v xml:space="preserve">                                                     </v>
      </c>
      <c r="G36" s="20" t="str">
        <f t="shared" si="33"/>
        <v/>
      </c>
      <c r="H36" s="3">
        <f t="shared" si="34"/>
        <v>0</v>
      </c>
      <c r="I36" s="2" t="str">
        <f t="shared" si="35"/>
        <v/>
      </c>
      <c r="J36" s="436">
        <f t="shared" si="36"/>
        <v>53</v>
      </c>
      <c r="K36" s="433" t="str">
        <f t="shared" si="37"/>
        <v>0</v>
      </c>
      <c r="L36" s="2" t="str">
        <f t="shared" si="38"/>
        <v/>
      </c>
      <c r="M36" s="2" t="str">
        <f t="shared" si="38"/>
        <v/>
      </c>
      <c r="N36" s="2" t="str">
        <f t="shared" si="38"/>
        <v/>
      </c>
      <c r="O36" s="2" t="str">
        <f t="shared" si="38"/>
        <v/>
      </c>
      <c r="P36" s="2" t="str">
        <f t="shared" si="38"/>
        <v/>
      </c>
      <c r="Q36" s="2" t="str">
        <f t="shared" si="43"/>
        <v/>
      </c>
      <c r="R36" s="105" t="str">
        <f t="shared" si="44"/>
        <v/>
      </c>
      <c r="S36" s="105" t="str">
        <f>IF(LEFT($F36,1)="*",IF(VLOOKUP($H36,ELENCHI!$BG$24:$BO$123,5,FALSE)=LEN(R36),0,1),"")</f>
        <v/>
      </c>
      <c r="T36" s="105" t="str">
        <f>IF(S36=0,IFERROR(LEFT(R36,VLOOKUP($H36,ELENCHI!$BG$24:$CB$123,5,FALSE)-VLOOKUP($H36,ELENCHI!$BG$24:$CB$123,10,FALSE))&amp;IF(VLOOKUP($H36,ELENCHI!$BG$24:$CB$123,10,FALSE)=0,"",",")&amp;RIGHT(R36,VLOOKUP($H36,ELENCHI!$BG$24:$CB$123,10,FALSE)),""),"!!!")</f>
        <v>!!!</v>
      </c>
      <c r="U36" s="2" t="str">
        <f t="shared" si="45"/>
        <v/>
      </c>
      <c r="V36" s="2" t="str">
        <f>IF(LEFT($F36,1)="*",IF(VLOOKUP($H36,ELENCHI!$BG$24:$BO$123,6,FALSE)=LEN(U36),0,1),"")</f>
        <v/>
      </c>
      <c r="W36" s="2" t="str">
        <f>IF(V36=0,IFERROR(LEFT(U36,VLOOKUP($H36,ELENCHI!$BG$24:$CB$123,6,FALSE)-VLOOKUP($H36,ELENCHI!$BG$24:$CB$123,11,FALSE))&amp;IF(VLOOKUP($H36,ELENCHI!$BG$24:$CB$123,11,FALSE)=0,"",",")&amp;RIGHT(U36,VLOOKUP($H36,ELENCHI!$BG$24:$CB$123,11,FALSE)),""),"!!!")</f>
        <v>!!!</v>
      </c>
      <c r="X36" s="105" t="str">
        <f t="shared" si="46"/>
        <v/>
      </c>
      <c r="Y36" s="105" t="str">
        <f>IF(LEFT($F36,1)="*",IF(VLOOKUP($H36,ELENCHI!$BG$24:$BO$123,7,FALSE)=LEN(X36),0,1),"")</f>
        <v/>
      </c>
      <c r="Z36" s="105" t="str">
        <f>IF(Y36=0,IFERROR(LEFT(X36,VLOOKUP($H36,ELENCHI!$BG$24:$CB$123,7,FALSE)-VLOOKUP($H36,ELENCHI!$BG$24:$CB$123,12,FALSE))&amp;IF(VLOOKUP($H36,ELENCHI!$BG$24:$CB$123,12,FALSE)=0,"",",")&amp;RIGHT(X36,VLOOKUP($H36,ELENCHI!$BG$24:$CB$123,12,FALSE)),""),"!!!")</f>
        <v>!!!</v>
      </c>
      <c r="AA36" s="113" t="str">
        <f t="shared" si="47"/>
        <v/>
      </c>
      <c r="AB36" s="113" t="str">
        <f>IF(LEFT($F36,1)="*",IF(VLOOKUP($H36,ELENCHI!$BG$24:$BO$123,8,FALSE)=LEN(AA36),0,1),"")</f>
        <v/>
      </c>
      <c r="AC36" s="113" t="str">
        <f>IF(AB36=0,IFERROR(LEFT(AA36,VLOOKUP($H36,ELENCHI!$BG$24:$CB$123,8,FALSE)-VLOOKUP($H36,ELENCHI!$BG$24:$CB$123,13,FALSE))&amp;IF(VLOOKUP($H36,ELENCHI!$BG$24:$CB$123,13,FALSE)=0,"",",")&amp;RIGHT(AA36,VLOOKUP($H36,ELENCHI!$BG$24:$CB$123,13,FALSE)),""),"!!!")</f>
        <v>!!!</v>
      </c>
      <c r="AD36" s="105" t="str">
        <f t="shared" si="48"/>
        <v/>
      </c>
      <c r="AE36" s="105" t="str">
        <f>IF(LEFT($F36,1)="*",IF(VLOOKUP($H36,ELENCHI!$BG$24:$BO$123,9,FALSE)=LEN(AD36),0,1),"")</f>
        <v/>
      </c>
      <c r="AF36" s="105" t="str">
        <f>IF(AE36=0,IFERROR(LEFT(AD36,VLOOKUP($H36,ELENCHI!$BG$24:$CB$123,9,FALSE)-VLOOKUP($H36,ELENCHI!$BG$24:$CB$123,14,FALSE))&amp;IF(VLOOKUP($H36,ELENCHI!$BG$24:$CB$123,14,FALSE)=0,"",",")&amp;RIGHT(AD36,VLOOKUP($H36,ELENCHI!$BG$24:$CB$123,14,FALSE)),""),"!!!")</f>
        <v>!!!</v>
      </c>
      <c r="AG36" s="117">
        <f t="shared" si="49"/>
        <v>0</v>
      </c>
      <c r="AH36" s="2" t="str">
        <f>AM35&amp;IF(H36&lt;&gt;0,VLOOKUP($H36,ELENCHI!$BG$24:$CB$123,16,FALSE)&amp;T36&amp;VLOOKUP($H36,ELENCHI!$BG$24:$CB$123,17,FALSE)&amp;W36&amp;VLOOKUP($H36,ELENCHI!$BG$24:$CB$123,18,FALSE)&amp;Z36&amp;VLOOKUP($H36,ELENCHI!$BG$24:$CB$123,19,FALSE)&amp;AC36&amp;VLOOKUP($H36,ELENCHI!$BG$24:$CB$123,20,FALSE)&amp;AF36&amp;CHAR(10),I36&amp;IF(IFERROR(FIND(CHAR(10),LEFT(B36,LUNGH),1),0)&gt;0,CHAR(10),""))</f>
        <v/>
      </c>
      <c r="AI36" s="3" t="str">
        <f t="shared" si="50"/>
        <v xml:space="preserve"> </v>
      </c>
      <c r="AJ36" s="3">
        <f t="shared" si="51"/>
        <v>999</v>
      </c>
      <c r="AK36" s="3">
        <f t="shared" si="52"/>
        <v>999</v>
      </c>
      <c r="AL36" s="114" t="str">
        <f t="shared" si="39"/>
        <v xml:space="preserve">                                                     </v>
      </c>
      <c r="AM36" s="20" t="str">
        <f t="shared" si="40"/>
        <v/>
      </c>
      <c r="AN36" s="2">
        <f t="shared" si="53"/>
        <v>4</v>
      </c>
      <c r="AO36" s="462" t="str">
        <f t="shared" si="54"/>
        <v xml:space="preserve">                                                     </v>
      </c>
      <c r="AP36" s="462" t="str">
        <f t="shared" si="55"/>
        <v xml:space="preserve">4                                                            
</v>
      </c>
    </row>
    <row r="37" spans="1:45" x14ac:dyDescent="0.25">
      <c r="A37" s="2">
        <f>IF((ROW()-ROW($A$32))+SUM(STRINGA!$I$7:$M$7)&lt;=NUMRD*2+NUMRDJ,ROW()-ROW($A$32),"")</f>
        <v>5</v>
      </c>
      <c r="B37" s="14" t="str">
        <f t="shared" si="30"/>
        <v/>
      </c>
      <c r="C37" s="3" t="str">
        <f t="shared" si="41"/>
        <v xml:space="preserve"> </v>
      </c>
      <c r="D37" s="3">
        <f t="shared" si="42"/>
        <v>999</v>
      </c>
      <c r="E37" s="3">
        <f t="shared" si="31"/>
        <v>999</v>
      </c>
      <c r="F37" s="19" t="str">
        <f t="shared" si="32"/>
        <v xml:space="preserve">                                                     </v>
      </c>
      <c r="G37" s="20" t="str">
        <f t="shared" si="33"/>
        <v/>
      </c>
      <c r="H37" s="3">
        <f t="shared" si="34"/>
        <v>0</v>
      </c>
      <c r="I37" s="2" t="str">
        <f t="shared" si="35"/>
        <v/>
      </c>
      <c r="J37" s="436">
        <f t="shared" si="36"/>
        <v>53</v>
      </c>
      <c r="K37" s="433" t="str">
        <f t="shared" si="37"/>
        <v>0</v>
      </c>
      <c r="L37" s="2" t="str">
        <f t="shared" si="38"/>
        <v/>
      </c>
      <c r="M37" s="2" t="str">
        <f t="shared" si="38"/>
        <v/>
      </c>
      <c r="N37" s="2" t="str">
        <f t="shared" si="38"/>
        <v/>
      </c>
      <c r="O37" s="2" t="str">
        <f t="shared" si="38"/>
        <v/>
      </c>
      <c r="P37" s="2" t="str">
        <f t="shared" si="38"/>
        <v/>
      </c>
      <c r="Q37" s="2" t="str">
        <f t="shared" si="43"/>
        <v/>
      </c>
      <c r="R37" s="105" t="str">
        <f t="shared" si="44"/>
        <v/>
      </c>
      <c r="S37" s="105" t="str">
        <f>IF(LEFT($F37,1)="*",IF(VLOOKUP($H37,ELENCHI!$BG$24:$BO$123,5,FALSE)=LEN(R37),0,1),"")</f>
        <v/>
      </c>
      <c r="T37" s="105" t="str">
        <f>IF(S37=0,IFERROR(LEFT(R37,VLOOKUP($H37,ELENCHI!$BG$24:$CB$123,5,FALSE)-VLOOKUP($H37,ELENCHI!$BG$24:$CB$123,10,FALSE))&amp;IF(VLOOKUP($H37,ELENCHI!$BG$24:$CB$123,10,FALSE)=0,"",",")&amp;RIGHT(R37,VLOOKUP($H37,ELENCHI!$BG$24:$CB$123,10,FALSE)),""),"!!!")</f>
        <v>!!!</v>
      </c>
      <c r="U37" s="2" t="str">
        <f t="shared" si="45"/>
        <v/>
      </c>
      <c r="V37" s="2" t="str">
        <f>IF(LEFT($F37,1)="*",IF(VLOOKUP($H37,ELENCHI!$BG$24:$BO$123,6,FALSE)=LEN(U37),0,1),"")</f>
        <v/>
      </c>
      <c r="W37" s="2" t="str">
        <f>IF(V37=0,IFERROR(LEFT(U37,VLOOKUP($H37,ELENCHI!$BG$24:$CB$123,6,FALSE)-VLOOKUP($H37,ELENCHI!$BG$24:$CB$123,11,FALSE))&amp;IF(VLOOKUP($H37,ELENCHI!$BG$24:$CB$123,11,FALSE)=0,"",",")&amp;RIGHT(U37,VLOOKUP($H37,ELENCHI!$BG$24:$CB$123,11,FALSE)),""),"!!!")</f>
        <v>!!!</v>
      </c>
      <c r="X37" s="105" t="str">
        <f t="shared" si="46"/>
        <v/>
      </c>
      <c r="Y37" s="105" t="str">
        <f>IF(LEFT($F37,1)="*",IF(VLOOKUP($H37,ELENCHI!$BG$24:$BO$123,7,FALSE)=LEN(X37),0,1),"")</f>
        <v/>
      </c>
      <c r="Z37" s="105" t="str">
        <f>IF(Y37=0,IFERROR(LEFT(X37,VLOOKUP($H37,ELENCHI!$BG$24:$CB$123,7,FALSE)-VLOOKUP($H37,ELENCHI!$BG$24:$CB$123,12,FALSE))&amp;IF(VLOOKUP($H37,ELENCHI!$BG$24:$CB$123,12,FALSE)=0,"",",")&amp;RIGHT(X37,VLOOKUP($H37,ELENCHI!$BG$24:$CB$123,12,FALSE)),""),"!!!")</f>
        <v>!!!</v>
      </c>
      <c r="AA37" s="113" t="str">
        <f t="shared" si="47"/>
        <v/>
      </c>
      <c r="AB37" s="113" t="str">
        <f>IF(LEFT($F37,1)="*",IF(VLOOKUP($H37,ELENCHI!$BG$24:$BO$123,8,FALSE)=LEN(AA37),0,1),"")</f>
        <v/>
      </c>
      <c r="AC37" s="113" t="str">
        <f>IF(AB37=0,IFERROR(LEFT(AA37,VLOOKUP($H37,ELENCHI!$BG$24:$CB$123,8,FALSE)-VLOOKUP($H37,ELENCHI!$BG$24:$CB$123,13,FALSE))&amp;IF(VLOOKUP($H37,ELENCHI!$BG$24:$CB$123,13,FALSE)=0,"",",")&amp;RIGHT(AA37,VLOOKUP($H37,ELENCHI!$BG$24:$CB$123,13,FALSE)),""),"!!!")</f>
        <v>!!!</v>
      </c>
      <c r="AD37" s="105" t="str">
        <f t="shared" si="48"/>
        <v/>
      </c>
      <c r="AE37" s="105" t="str">
        <f>IF(LEFT($F37,1)="*",IF(VLOOKUP($H37,ELENCHI!$BG$24:$BO$123,9,FALSE)=LEN(AD37),0,1),"")</f>
        <v/>
      </c>
      <c r="AF37" s="105" t="str">
        <f>IF(AE37=0,IFERROR(LEFT(AD37,VLOOKUP($H37,ELENCHI!$BG$24:$CB$123,9,FALSE)-VLOOKUP($H37,ELENCHI!$BG$24:$CB$123,14,FALSE))&amp;IF(VLOOKUP($H37,ELENCHI!$BG$24:$CB$123,14,FALSE)=0,"",",")&amp;RIGHT(AD37,VLOOKUP($H37,ELENCHI!$BG$24:$CB$123,14,FALSE)),""),"!!!")</f>
        <v>!!!</v>
      </c>
      <c r="AG37" s="117">
        <f t="shared" si="49"/>
        <v>0</v>
      </c>
      <c r="AH37" s="2" t="str">
        <f>AM36&amp;IF(H37&lt;&gt;0,VLOOKUP($H37,ELENCHI!$BG$24:$CB$123,16,FALSE)&amp;T37&amp;VLOOKUP($H37,ELENCHI!$BG$24:$CB$123,17,FALSE)&amp;W37&amp;VLOOKUP($H37,ELENCHI!$BG$24:$CB$123,18,FALSE)&amp;Z37&amp;VLOOKUP($H37,ELENCHI!$BG$24:$CB$123,19,FALSE)&amp;AC37&amp;VLOOKUP($H37,ELENCHI!$BG$24:$CB$123,20,FALSE)&amp;AF37&amp;CHAR(10),I37&amp;IF(IFERROR(FIND(CHAR(10),LEFT(B37,LUNGH),1),0)&gt;0,CHAR(10),""))</f>
        <v/>
      </c>
      <c r="AI37" s="3" t="str">
        <f t="shared" si="50"/>
        <v xml:space="preserve"> </v>
      </c>
      <c r="AJ37" s="3">
        <f t="shared" si="51"/>
        <v>999</v>
      </c>
      <c r="AK37" s="3">
        <f t="shared" si="52"/>
        <v>999</v>
      </c>
      <c r="AL37" s="114" t="str">
        <f t="shared" si="39"/>
        <v xml:space="preserve">                                                     </v>
      </c>
      <c r="AM37" s="20" t="str">
        <f t="shared" si="40"/>
        <v/>
      </c>
      <c r="AN37" s="2">
        <f t="shared" si="53"/>
        <v>5</v>
      </c>
      <c r="AO37" s="462" t="str">
        <f t="shared" si="54"/>
        <v xml:space="preserve">                                                     </v>
      </c>
      <c r="AP37" s="462" t="str">
        <f t="shared" si="55"/>
        <v xml:space="preserve">5                                                            
</v>
      </c>
    </row>
    <row r="38" spans="1:45" x14ac:dyDescent="0.25">
      <c r="A38" s="2">
        <f>IF((ROW()-ROW($A$32))+SUM(STRINGA!$I$7:$M$7)&lt;=NUMRD*2+NUMRDJ,ROW()-ROW($A$32),"")</f>
        <v>6</v>
      </c>
      <c r="B38" s="14" t="str">
        <f t="shared" si="30"/>
        <v/>
      </c>
      <c r="C38" s="3" t="str">
        <f t="shared" ref="C38" si="56">IFERROR(FIND("*",B38)," ")</f>
        <v xml:space="preserve"> </v>
      </c>
      <c r="D38" s="3">
        <f t="shared" si="42"/>
        <v>999</v>
      </c>
      <c r="E38" s="3">
        <f>IFERROR(FIND(CHAR(10),B38,2)-1-IF(LEFT(B38,1)=CHAR(10),1,0),999)</f>
        <v>999</v>
      </c>
      <c r="F38" s="19" t="str">
        <f t="shared" si="32"/>
        <v xml:space="preserve">                                                     </v>
      </c>
      <c r="G38" s="20" t="str">
        <f t="shared" si="33"/>
        <v/>
      </c>
      <c r="H38" s="3">
        <f t="shared" si="34"/>
        <v>0</v>
      </c>
      <c r="I38" s="2" t="str">
        <f t="shared" si="35"/>
        <v/>
      </c>
      <c r="J38" s="436">
        <f t="shared" si="36"/>
        <v>53</v>
      </c>
      <c r="K38" s="433" t="str">
        <f t="shared" si="37"/>
        <v>0</v>
      </c>
      <c r="L38" s="2" t="str">
        <f t="shared" si="38"/>
        <v/>
      </c>
      <c r="M38" s="2" t="str">
        <f t="shared" si="38"/>
        <v/>
      </c>
      <c r="N38" s="2" t="str">
        <f t="shared" si="38"/>
        <v/>
      </c>
      <c r="O38" s="2" t="str">
        <f t="shared" si="38"/>
        <v/>
      </c>
      <c r="P38" s="2" t="str">
        <f t="shared" si="38"/>
        <v/>
      </c>
      <c r="Q38" s="2" t="str">
        <f t="shared" si="43"/>
        <v/>
      </c>
      <c r="R38" s="105" t="str">
        <f t="shared" si="44"/>
        <v/>
      </c>
      <c r="S38" s="105" t="str">
        <f>IF(LEFT($F38,1)="*",IF(VLOOKUP($H38,ELENCHI!$BG$24:$BO$123,5,FALSE)=LEN(R38),0,1),"")</f>
        <v/>
      </c>
      <c r="T38" s="105" t="str">
        <f>IF(S38=0,IFERROR(LEFT(R38,VLOOKUP($H38,ELENCHI!$BG$24:$CB$123,5,FALSE)-VLOOKUP($H38,ELENCHI!$BG$24:$CB$123,10,FALSE))&amp;IF(VLOOKUP($H38,ELENCHI!$BG$24:$CB$123,10,FALSE)=0,"",",")&amp;RIGHT(R38,VLOOKUP($H38,ELENCHI!$BG$24:$CB$123,10,FALSE)),""),"!!!")</f>
        <v>!!!</v>
      </c>
      <c r="U38" s="2" t="str">
        <f t="shared" si="45"/>
        <v/>
      </c>
      <c r="V38" s="2" t="str">
        <f>IF(LEFT($F38,1)="*",IF(VLOOKUP($H38,ELENCHI!$BG$24:$BO$123,6,FALSE)=LEN(U38),0,1),"")</f>
        <v/>
      </c>
      <c r="W38" s="2" t="str">
        <f>IF(V38=0,IFERROR(LEFT(U38,VLOOKUP($H38,ELENCHI!$BG$24:$CB$123,6,FALSE)-VLOOKUP($H38,ELENCHI!$BG$24:$CB$123,11,FALSE))&amp;IF(VLOOKUP($H38,ELENCHI!$BG$24:$CB$123,11,FALSE)=0,"",",")&amp;RIGHT(U38,VLOOKUP($H38,ELENCHI!$BG$24:$CB$123,11,FALSE)),""),"!!!")</f>
        <v>!!!</v>
      </c>
      <c r="X38" s="105" t="str">
        <f t="shared" si="46"/>
        <v/>
      </c>
      <c r="Y38" s="105" t="str">
        <f>IF(LEFT($F38,1)="*",IF(VLOOKUP($H38,ELENCHI!$BG$24:$BO$123,7,FALSE)=LEN(X38),0,1),"")</f>
        <v/>
      </c>
      <c r="Z38" s="105" t="str">
        <f>IF(Y38=0,IFERROR(LEFT(X38,VLOOKUP($H38,ELENCHI!$BG$24:$CB$123,7,FALSE)-VLOOKUP($H38,ELENCHI!$BG$24:$CB$123,12,FALSE))&amp;IF(VLOOKUP($H38,ELENCHI!$BG$24:$CB$123,12,FALSE)=0,"",",")&amp;RIGHT(X38,VLOOKUP($H38,ELENCHI!$BG$24:$CB$123,12,FALSE)),""),"!!!")</f>
        <v>!!!</v>
      </c>
      <c r="AA38" s="113" t="str">
        <f t="shared" si="47"/>
        <v/>
      </c>
      <c r="AB38" s="113" t="str">
        <f>IF(LEFT($F38,1)="*",IF(VLOOKUP($H38,ELENCHI!$BG$24:$BO$123,8,FALSE)=LEN(AA38),0,1),"")</f>
        <v/>
      </c>
      <c r="AC38" s="113" t="str">
        <f>IF(AB38=0,IFERROR(LEFT(AA38,VLOOKUP($H38,ELENCHI!$BG$24:$CB$123,8,FALSE)-VLOOKUP($H38,ELENCHI!$BG$24:$CB$123,13,FALSE))&amp;IF(VLOOKUP($H38,ELENCHI!$BG$24:$CB$123,13,FALSE)=0,"",",")&amp;RIGHT(AA38,VLOOKUP($H38,ELENCHI!$BG$24:$CB$123,13,FALSE)),""),"!!!")</f>
        <v>!!!</v>
      </c>
      <c r="AD38" s="105" t="str">
        <f t="shared" si="48"/>
        <v/>
      </c>
      <c r="AE38" s="105" t="str">
        <f>IF(LEFT($F38,1)="*",IF(VLOOKUP($H38,ELENCHI!$BG$24:$BO$123,9,FALSE)=LEN(AD38),0,1),"")</f>
        <v/>
      </c>
      <c r="AF38" s="105" t="str">
        <f>IF(AE38=0,IFERROR(LEFT(AD38,VLOOKUP($H38,ELENCHI!$BG$24:$CB$123,9,FALSE)-VLOOKUP($H38,ELENCHI!$BG$24:$CB$123,14,FALSE))&amp;IF(VLOOKUP($H38,ELENCHI!$BG$24:$CB$123,14,FALSE)=0,"",",")&amp;RIGHT(AD38,VLOOKUP($H38,ELENCHI!$BG$24:$CB$123,14,FALSE)),""),"!!!")</f>
        <v>!!!</v>
      </c>
      <c r="AG38" s="117">
        <f t="shared" si="49"/>
        <v>0</v>
      </c>
      <c r="AH38" s="2" t="str">
        <f>AM37&amp;IF(H38&lt;&gt;0,VLOOKUP($H38,ELENCHI!$BG$24:$CB$123,16,FALSE)&amp;T38&amp;VLOOKUP($H38,ELENCHI!$BG$24:$CB$123,17,FALSE)&amp;W38&amp;VLOOKUP($H38,ELENCHI!$BG$24:$CB$123,18,FALSE)&amp;Z38&amp;VLOOKUP($H38,ELENCHI!$BG$24:$CB$123,19,FALSE)&amp;AC38&amp;VLOOKUP($H38,ELENCHI!$BG$24:$CB$123,20,FALSE)&amp;AF38&amp;CHAR(10),I38&amp;IF(IFERROR(FIND(CHAR(10),LEFT(B38,LUNGH),1),0)&gt;0,CHAR(10),""))</f>
        <v/>
      </c>
      <c r="AI38" s="3" t="str">
        <f t="shared" si="50"/>
        <v xml:space="preserve"> </v>
      </c>
      <c r="AJ38" s="3">
        <f t="shared" si="51"/>
        <v>999</v>
      </c>
      <c r="AK38" s="3">
        <f t="shared" si="52"/>
        <v>999</v>
      </c>
      <c r="AL38" s="114" t="str">
        <f t="shared" si="39"/>
        <v xml:space="preserve">                                                     </v>
      </c>
      <c r="AM38" s="20" t="str">
        <f t="shared" si="40"/>
        <v/>
      </c>
      <c r="AN38" s="2">
        <f t="shared" si="53"/>
        <v>6</v>
      </c>
      <c r="AO38" s="462" t="str">
        <f t="shared" si="54"/>
        <v xml:space="preserve">                                                     </v>
      </c>
      <c r="AP38" s="462" t="str">
        <f t="shared" si="55"/>
        <v xml:space="preserve">6                                                            
</v>
      </c>
    </row>
    <row r="39" spans="1:45" x14ac:dyDescent="0.25">
      <c r="A39" s="2">
        <f>IF((ROW()-ROW($A$32))+SUM(STRINGA!$I$7:$M$7)&lt;=NUMRD*2+NUMRDJ,ROW()-ROW($A$32),"")</f>
        <v>7</v>
      </c>
      <c r="B39" s="14" t="str">
        <f t="shared" si="30"/>
        <v/>
      </c>
      <c r="C39" s="3" t="str">
        <f t="shared" si="41"/>
        <v xml:space="preserve"> </v>
      </c>
      <c r="D39" s="3">
        <f t="shared" si="42"/>
        <v>999</v>
      </c>
      <c r="E39" s="3">
        <f t="shared" ref="E39:E41" si="57">IFERROR(FIND(CHAR(10),B39,2)-1-IF(LEFT(B39,1)=CHAR(10),1,0),999)</f>
        <v>999</v>
      </c>
      <c r="F39" s="19" t="str">
        <f t="shared" si="32"/>
        <v xml:space="preserve">                                                     </v>
      </c>
      <c r="G39" s="20" t="str">
        <f t="shared" si="33"/>
        <v/>
      </c>
      <c r="H39" s="3">
        <f t="shared" si="34"/>
        <v>0</v>
      </c>
      <c r="I39" s="2" t="str">
        <f t="shared" si="35"/>
        <v/>
      </c>
      <c r="J39" s="436">
        <f t="shared" si="36"/>
        <v>53</v>
      </c>
      <c r="K39" s="433" t="str">
        <f t="shared" si="37"/>
        <v>0</v>
      </c>
      <c r="L39" s="2" t="str">
        <f t="shared" si="38"/>
        <v/>
      </c>
      <c r="M39" s="2" t="str">
        <f t="shared" si="38"/>
        <v/>
      </c>
      <c r="N39" s="2" t="str">
        <f t="shared" si="38"/>
        <v/>
      </c>
      <c r="O39" s="2" t="str">
        <f t="shared" si="38"/>
        <v/>
      </c>
      <c r="P39" s="2" t="str">
        <f t="shared" si="38"/>
        <v/>
      </c>
      <c r="Q39" s="2" t="str">
        <f t="shared" si="43"/>
        <v/>
      </c>
      <c r="R39" s="105" t="str">
        <f t="shared" si="44"/>
        <v/>
      </c>
      <c r="S39" s="105" t="str">
        <f>IF(LEFT($F39,1)="*",IF(VLOOKUP($H39,ELENCHI!$BG$24:$BO$123,5,FALSE)=LEN(R39),0,1),"")</f>
        <v/>
      </c>
      <c r="T39" s="105" t="str">
        <f>IF(S39=0,IFERROR(LEFT(R39,VLOOKUP($H39,ELENCHI!$BG$24:$CB$123,5,FALSE)-VLOOKUP($H39,ELENCHI!$BG$24:$CB$123,10,FALSE))&amp;IF(VLOOKUP($H39,ELENCHI!$BG$24:$CB$123,10,FALSE)=0,"",",")&amp;RIGHT(R39,VLOOKUP($H39,ELENCHI!$BG$24:$CB$123,10,FALSE)),""),"!!!")</f>
        <v>!!!</v>
      </c>
      <c r="U39" s="2" t="str">
        <f t="shared" si="45"/>
        <v/>
      </c>
      <c r="V39" s="2" t="str">
        <f>IF(LEFT($F39,1)="*",IF(VLOOKUP($H39,ELENCHI!$BG$24:$BO$123,6,FALSE)=LEN(U39),0,1),"")</f>
        <v/>
      </c>
      <c r="W39" s="2" t="str">
        <f>IF(V39=0,IFERROR(LEFT(U39,VLOOKUP($H39,ELENCHI!$BG$24:$CB$123,6,FALSE)-VLOOKUP($H39,ELENCHI!$BG$24:$CB$123,11,FALSE))&amp;IF(VLOOKUP($H39,ELENCHI!$BG$24:$CB$123,11,FALSE)=0,"",",")&amp;RIGHT(U39,VLOOKUP($H39,ELENCHI!$BG$24:$CB$123,11,FALSE)),""),"!!!")</f>
        <v>!!!</v>
      </c>
      <c r="X39" s="105" t="str">
        <f t="shared" si="46"/>
        <v/>
      </c>
      <c r="Y39" s="105" t="str">
        <f>IF(LEFT($F39,1)="*",IF(VLOOKUP($H39,ELENCHI!$BG$24:$BO$123,7,FALSE)=LEN(X39),0,1),"")</f>
        <v/>
      </c>
      <c r="Z39" s="105" t="str">
        <f>IF(Y39=0,IFERROR(LEFT(X39,VLOOKUP($H39,ELENCHI!$BG$24:$CB$123,7,FALSE)-VLOOKUP($H39,ELENCHI!$BG$24:$CB$123,12,FALSE))&amp;IF(VLOOKUP($H39,ELENCHI!$BG$24:$CB$123,12,FALSE)=0,"",",")&amp;RIGHT(X39,VLOOKUP($H39,ELENCHI!$BG$24:$CB$123,12,FALSE)),""),"!!!")</f>
        <v>!!!</v>
      </c>
      <c r="AA39" s="113" t="str">
        <f t="shared" si="47"/>
        <v/>
      </c>
      <c r="AB39" s="113" t="str">
        <f>IF(LEFT($F39,1)="*",IF(VLOOKUP($H39,ELENCHI!$BG$24:$BO$123,8,FALSE)=LEN(AA39),0,1),"")</f>
        <v/>
      </c>
      <c r="AC39" s="113" t="str">
        <f>IF(AB39=0,IFERROR(LEFT(AA39,VLOOKUP($H39,ELENCHI!$BG$24:$CB$123,8,FALSE)-VLOOKUP($H39,ELENCHI!$BG$24:$CB$123,13,FALSE))&amp;IF(VLOOKUP($H39,ELENCHI!$BG$24:$CB$123,13,FALSE)=0,"",",")&amp;RIGHT(AA39,VLOOKUP($H39,ELENCHI!$BG$24:$CB$123,13,FALSE)),""),"!!!")</f>
        <v>!!!</v>
      </c>
      <c r="AD39" s="105" t="str">
        <f t="shared" si="48"/>
        <v/>
      </c>
      <c r="AE39" s="105" t="str">
        <f>IF(LEFT($F39,1)="*",IF(VLOOKUP($H39,ELENCHI!$BG$24:$BO$123,9,FALSE)=LEN(AD39),0,1),"")</f>
        <v/>
      </c>
      <c r="AF39" s="105" t="str">
        <f>IF(AE39=0,IFERROR(LEFT(AD39,VLOOKUP($H39,ELENCHI!$BG$24:$CB$123,9,FALSE)-VLOOKUP($H39,ELENCHI!$BG$24:$CB$123,14,FALSE))&amp;IF(VLOOKUP($H39,ELENCHI!$BG$24:$CB$123,14,FALSE)=0,"",",")&amp;RIGHT(AD39,VLOOKUP($H39,ELENCHI!$BG$24:$CB$123,14,FALSE)),""),"!!!")</f>
        <v>!!!</v>
      </c>
      <c r="AG39" s="117">
        <f t="shared" si="49"/>
        <v>0</v>
      </c>
      <c r="AH39" s="2" t="str">
        <f>AM38&amp;IF(H39&lt;&gt;0,VLOOKUP($H39,ELENCHI!$BG$24:$CB$123,16,FALSE)&amp;T39&amp;VLOOKUP($H39,ELENCHI!$BG$24:$CB$123,17,FALSE)&amp;W39&amp;VLOOKUP($H39,ELENCHI!$BG$24:$CB$123,18,FALSE)&amp;Z39&amp;VLOOKUP($H39,ELENCHI!$BG$24:$CB$123,19,FALSE)&amp;AC39&amp;VLOOKUP($H39,ELENCHI!$BG$24:$CB$123,20,FALSE)&amp;AF39&amp;CHAR(10),I39&amp;IF(IFERROR(FIND(CHAR(10),LEFT(B39,LUNGH),1),0)&gt;0,CHAR(10),""))</f>
        <v/>
      </c>
      <c r="AI39" s="3" t="str">
        <f t="shared" si="50"/>
        <v xml:space="preserve"> </v>
      </c>
      <c r="AJ39" s="3">
        <f t="shared" si="51"/>
        <v>999</v>
      </c>
      <c r="AK39" s="3">
        <f t="shared" si="52"/>
        <v>999</v>
      </c>
      <c r="AL39" s="114" t="str">
        <f t="shared" si="39"/>
        <v xml:space="preserve">                                                     </v>
      </c>
      <c r="AM39" s="20" t="str">
        <f t="shared" si="40"/>
        <v/>
      </c>
      <c r="AN39" s="2">
        <f t="shared" si="53"/>
        <v>7</v>
      </c>
      <c r="AO39" s="462" t="str">
        <f t="shared" si="54"/>
        <v xml:space="preserve">                                                     </v>
      </c>
      <c r="AP39" s="462" t="str">
        <f t="shared" si="55"/>
        <v xml:space="preserve">7                                                            
</v>
      </c>
    </row>
    <row r="40" spans="1:45" x14ac:dyDescent="0.25">
      <c r="A40" s="2">
        <f>IF((ROW()-ROW($A$32))+SUM(STRINGA!$I$7:$M$7)&lt;=NUMRD*2+NUMRDJ,ROW()-ROW($A$32),"")</f>
        <v>8</v>
      </c>
      <c r="B40" s="14" t="str">
        <f t="shared" si="30"/>
        <v/>
      </c>
      <c r="C40" s="3" t="str">
        <f t="shared" si="41"/>
        <v xml:space="preserve"> </v>
      </c>
      <c r="D40" s="3">
        <f t="shared" si="42"/>
        <v>999</v>
      </c>
      <c r="E40" s="3">
        <f t="shared" si="57"/>
        <v>999</v>
      </c>
      <c r="F40" s="19" t="str">
        <f t="shared" si="32"/>
        <v xml:space="preserve">                                                     </v>
      </c>
      <c r="G40" s="20" t="str">
        <f t="shared" si="33"/>
        <v/>
      </c>
      <c r="H40" s="3">
        <f t="shared" si="34"/>
        <v>0</v>
      </c>
      <c r="I40" s="2" t="str">
        <f t="shared" si="35"/>
        <v/>
      </c>
      <c r="J40" s="436">
        <f>IF(I41&lt;&gt;"","",LEN(F40)-LEN(I40))</f>
        <v>53</v>
      </c>
      <c r="K40" s="433" t="str">
        <f t="shared" si="37"/>
        <v>0</v>
      </c>
      <c r="L40" s="2" t="str">
        <f t="shared" si="38"/>
        <v/>
      </c>
      <c r="M40" s="2" t="str">
        <f t="shared" si="38"/>
        <v/>
      </c>
      <c r="N40" s="2" t="str">
        <f t="shared" si="38"/>
        <v/>
      </c>
      <c r="O40" s="2" t="str">
        <f t="shared" si="38"/>
        <v/>
      </c>
      <c r="P40" s="2" t="str">
        <f t="shared" si="38"/>
        <v/>
      </c>
      <c r="Q40" s="2" t="str">
        <f t="shared" si="43"/>
        <v/>
      </c>
      <c r="R40" s="105" t="str">
        <f t="shared" si="44"/>
        <v/>
      </c>
      <c r="S40" s="105" t="str">
        <f>IF(LEFT($F40,1)="*",IF(VLOOKUP($H40,ELENCHI!$BG$24:$BO$123,5,FALSE)=LEN(R40),0,1),"")</f>
        <v/>
      </c>
      <c r="T40" s="105" t="str">
        <f>IF(S40=0,IFERROR(LEFT(R40,VLOOKUP($H40,ELENCHI!$BG$24:$CB$123,5,FALSE)-VLOOKUP($H40,ELENCHI!$BG$24:$CB$123,10,FALSE))&amp;IF(VLOOKUP($H40,ELENCHI!$BG$24:$CB$123,10,FALSE)=0,"",",")&amp;RIGHT(R40,VLOOKUP($H40,ELENCHI!$BG$24:$CB$123,10,FALSE)),""),"!!!")</f>
        <v>!!!</v>
      </c>
      <c r="U40" s="2" t="str">
        <f t="shared" si="45"/>
        <v/>
      </c>
      <c r="V40" s="2" t="str">
        <f>IF(LEFT($F40,1)="*",IF(VLOOKUP($H40,ELENCHI!$BG$24:$BO$123,6,FALSE)=LEN(U40),0,1),"")</f>
        <v/>
      </c>
      <c r="W40" s="2" t="str">
        <f>IF(V40=0,IFERROR(LEFT(U40,VLOOKUP($H40,ELENCHI!$BG$24:$CB$123,6,FALSE)-VLOOKUP($H40,ELENCHI!$BG$24:$CB$123,11,FALSE))&amp;IF(VLOOKUP($H40,ELENCHI!$BG$24:$CB$123,11,FALSE)=0,"",",")&amp;RIGHT(U40,VLOOKUP($H40,ELENCHI!$BG$24:$CB$123,11,FALSE)),""),"!!!")</f>
        <v>!!!</v>
      </c>
      <c r="X40" s="105" t="str">
        <f t="shared" si="46"/>
        <v/>
      </c>
      <c r="Y40" s="105" t="str">
        <f>IF(LEFT($F40,1)="*",IF(VLOOKUP($H40,ELENCHI!$BG$24:$BO$123,7,FALSE)=LEN(X40),0,1),"")</f>
        <v/>
      </c>
      <c r="Z40" s="105" t="str">
        <f>IF(Y40=0,IFERROR(LEFT(X40,VLOOKUP($H40,ELENCHI!$BG$24:$CB$123,7,FALSE)-VLOOKUP($H40,ELENCHI!$BG$24:$CB$123,12,FALSE))&amp;IF(VLOOKUP($H40,ELENCHI!$BG$24:$CB$123,12,FALSE)=0,"",",")&amp;RIGHT(X40,VLOOKUP($H40,ELENCHI!$BG$24:$CB$123,12,FALSE)),""),"!!!")</f>
        <v>!!!</v>
      </c>
      <c r="AA40" s="113" t="str">
        <f t="shared" si="47"/>
        <v/>
      </c>
      <c r="AB40" s="113" t="str">
        <f>IF(LEFT($F40,1)="*",IF(VLOOKUP($H40,ELENCHI!$BG$24:$BO$123,8,FALSE)=LEN(AA40),0,1),"")</f>
        <v/>
      </c>
      <c r="AC40" s="113" t="str">
        <f>IF(AB40=0,IFERROR(LEFT(AA40,VLOOKUP($H40,ELENCHI!$BG$24:$CB$123,8,FALSE)-VLOOKUP($H40,ELENCHI!$BG$24:$CB$123,13,FALSE))&amp;IF(VLOOKUP($H40,ELENCHI!$BG$24:$CB$123,13,FALSE)=0,"",",")&amp;RIGHT(AA40,VLOOKUP($H40,ELENCHI!$BG$24:$CB$123,13,FALSE)),""),"!!!")</f>
        <v>!!!</v>
      </c>
      <c r="AD40" s="105" t="str">
        <f t="shared" si="48"/>
        <v/>
      </c>
      <c r="AE40" s="105" t="str">
        <f>IF(LEFT($F40,1)="*",IF(VLOOKUP($H40,ELENCHI!$BG$24:$BO$123,9,FALSE)=LEN(AD40),0,1),"")</f>
        <v/>
      </c>
      <c r="AF40" s="105" t="str">
        <f>IF(AE40=0,IFERROR(LEFT(AD40,VLOOKUP($H40,ELENCHI!$BG$24:$CB$123,9,FALSE)-VLOOKUP($H40,ELENCHI!$BG$24:$CB$123,14,FALSE))&amp;IF(VLOOKUP($H40,ELENCHI!$BG$24:$CB$123,14,FALSE)=0,"",",")&amp;RIGHT(AD40,VLOOKUP($H40,ELENCHI!$BG$24:$CB$123,14,FALSE)),""),"!!!")</f>
        <v>!!!</v>
      </c>
      <c r="AG40" s="117">
        <f t="shared" si="49"/>
        <v>0</v>
      </c>
      <c r="AH40" s="2" t="str">
        <f>AM39&amp;IF(H40&lt;&gt;0,VLOOKUP($H40,ELENCHI!$BG$24:$CB$123,16,FALSE)&amp;T40&amp;VLOOKUP($H40,ELENCHI!$BG$24:$CB$123,17,FALSE)&amp;W40&amp;VLOOKUP($H40,ELENCHI!$BG$24:$CB$123,18,FALSE)&amp;Z40&amp;VLOOKUP($H40,ELENCHI!$BG$24:$CB$123,19,FALSE)&amp;AC40&amp;VLOOKUP($H40,ELENCHI!$BG$24:$CB$123,20,FALSE)&amp;AF40&amp;CHAR(10),I40&amp;IF(IFERROR(FIND(CHAR(10),LEFT(B40,LUNGH),1),0)&gt;0,CHAR(10),""))</f>
        <v/>
      </c>
      <c r="AI40" s="3" t="str">
        <f t="shared" si="50"/>
        <v xml:space="preserve"> </v>
      </c>
      <c r="AJ40" s="3">
        <f t="shared" si="51"/>
        <v>999</v>
      </c>
      <c r="AK40" s="3">
        <f t="shared" si="52"/>
        <v>999</v>
      </c>
      <c r="AL40" s="114" t="str">
        <f t="shared" si="39"/>
        <v xml:space="preserve">                                                     </v>
      </c>
      <c r="AM40" s="20" t="str">
        <f t="shared" si="40"/>
        <v/>
      </c>
      <c r="AN40" s="2">
        <f t="shared" si="53"/>
        <v>8</v>
      </c>
      <c r="AO40" s="462" t="str">
        <f t="shared" si="54"/>
        <v xml:space="preserve">                                                     </v>
      </c>
      <c r="AP40" s="462" t="str">
        <f t="shared" si="55"/>
        <v xml:space="preserve">8                                                            
</v>
      </c>
    </row>
    <row r="41" spans="1:45" x14ac:dyDescent="0.25">
      <c r="A41" s="117">
        <f>IF((ROW()-ROW($A$32))+SUM(STRINGA!$I$7:$M$7)&lt;=NUMRD*2+NUMRDJ,ROW()-ROW($A$32),"")</f>
        <v>9</v>
      </c>
      <c r="B41" s="145" t="str">
        <f t="shared" si="30"/>
        <v/>
      </c>
      <c r="C41" s="146" t="str">
        <f t="shared" si="41"/>
        <v xml:space="preserve"> </v>
      </c>
      <c r="D41" s="146">
        <f t="shared" si="42"/>
        <v>999</v>
      </c>
      <c r="E41" s="146">
        <f t="shared" si="57"/>
        <v>999</v>
      </c>
      <c r="F41" s="144" t="str">
        <f t="shared" si="32"/>
        <v xml:space="preserve">                                                     </v>
      </c>
      <c r="G41" s="147" t="str">
        <f t="shared" si="33"/>
        <v/>
      </c>
      <c r="H41" s="146">
        <f t="shared" si="34"/>
        <v>0</v>
      </c>
      <c r="I41" s="143" t="str">
        <f>CLEAN(LEFT(LEFT(CLEAN(B41),MIN(D41,E41)),LUNGH))</f>
        <v/>
      </c>
      <c r="AF41" s="437" t="s">
        <v>803</v>
      </c>
      <c r="AG41" s="423">
        <f>SUM(AG33:AG40)</f>
        <v>0</v>
      </c>
      <c r="AH41" s="2" t="str">
        <f>AM40&amp;IF(H41&lt;&gt;0,VLOOKUP($H41,ELENCHI!$BG$24:$CB$123,16,FALSE)&amp;T41&amp;VLOOKUP($H41,ELENCHI!$BG$24:$CB$123,17,FALSE)&amp;W41&amp;VLOOKUP($H41,ELENCHI!$BG$24:$CB$123,18,FALSE)&amp;Z41&amp;VLOOKUP($H41,ELENCHI!$BG$24:$CB$123,19,FALSE)&amp;AC41&amp;VLOOKUP($H41,ELENCHI!$BG$24:$CB$123,20,FALSE)&amp;AF41&amp;CHAR(10),I41&amp;IF(IFERROR(FIND(CHAR(10),LEFT(B41,LUNGH),1),0)&gt;0,CHAR(10),""))</f>
        <v/>
      </c>
      <c r="AI41" s="3" t="str">
        <f t="shared" si="50"/>
        <v xml:space="preserve"> </v>
      </c>
      <c r="AJ41" s="3">
        <f t="shared" si="51"/>
        <v>999</v>
      </c>
      <c r="AK41" s="3">
        <f t="shared" si="52"/>
        <v>999</v>
      </c>
      <c r="AL41" s="114" t="str">
        <f t="shared" si="39"/>
        <v xml:space="preserve">                                                     </v>
      </c>
      <c r="AM41" s="20" t="str">
        <f t="shared" si="40"/>
        <v/>
      </c>
      <c r="AN41" s="463" t="s">
        <v>778</v>
      </c>
      <c r="AO41" s="463"/>
      <c r="AP41" s="463"/>
    </row>
    <row r="42" spans="1:45" x14ac:dyDescent="0.25">
      <c r="A42" s="5" t="s">
        <v>778</v>
      </c>
      <c r="B42" s="6"/>
      <c r="C42" s="8"/>
      <c r="D42" s="8"/>
      <c r="E42" s="8"/>
      <c r="F42" s="8"/>
      <c r="G42" s="8"/>
      <c r="H42" s="8"/>
      <c r="I42" s="8"/>
      <c r="J42" s="8"/>
      <c r="K42" s="8"/>
      <c r="AF42" s="613" t="s">
        <v>804</v>
      </c>
      <c r="AG42" s="611" t="str">
        <f>IFERROR(IF(AG41&gt;0,": ERRORE, LUNGHEZZA DATI ASTERISCATA","                                    "),":   ERRORE, ASTERISCATA NON IN ELENCO O ERRATA")</f>
        <v xml:space="preserve">                                    </v>
      </c>
      <c r="AH42" s="2" t="str">
        <f>AM41&amp;IF(H42&lt;&gt;0,VLOOKUP($H42,ELENCHI!$BG$24:$CB$123,16,FALSE)&amp;T42&amp;VLOOKUP($H42,ELENCHI!$BG$24:$CB$123,17,FALSE)&amp;W42&amp;VLOOKUP($H42,ELENCHI!$BG$24:$CB$123,18,FALSE)&amp;Z42&amp;VLOOKUP($H42,ELENCHI!$BG$24:$CB$123,19,FALSE)&amp;AC42&amp;VLOOKUP($H42,ELENCHI!$BG$24:$CB$123,20,FALSE)&amp;AF42&amp;CHAR(10),I42&amp;IF(IFERROR(FIND(CHAR(10),LEFT(B42,LUNGH),1),0)&gt;0,CHAR(10),""))</f>
        <v/>
      </c>
      <c r="AI42" s="3" t="str">
        <f t="shared" si="50"/>
        <v xml:space="preserve"> </v>
      </c>
      <c r="AJ42" s="3">
        <f t="shared" si="51"/>
        <v>999</v>
      </c>
      <c r="AK42" s="3">
        <f t="shared" si="52"/>
        <v>999</v>
      </c>
      <c r="AL42" s="114" t="str">
        <f t="shared" si="39"/>
        <v xml:space="preserve">                                                     </v>
      </c>
      <c r="AM42" s="20" t="str">
        <f t="shared" si="40"/>
        <v/>
      </c>
      <c r="AN42" s="608" t="str">
        <f>CONCATENATE(AP33,AP34,AP35,AP36,AP37,AP38,AP39,AP40,)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AO42" s="608"/>
      <c r="AP42" s="608"/>
    </row>
    <row r="43" spans="1:45" ht="51.75" customHeight="1" x14ac:dyDescent="0.25">
      <c r="A43" s="622" t="str">
        <f>CONCATENATE(F33,F34,F35,F36,F37,F38,F39,F40)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43" s="623"/>
      <c r="C43" s="424"/>
      <c r="D43" s="424"/>
      <c r="E43" s="424"/>
      <c r="F43" s="424"/>
      <c r="G43" s="424"/>
      <c r="H43" s="424"/>
      <c r="I43" s="424"/>
      <c r="J43" s="424"/>
      <c r="K43" s="425"/>
      <c r="L43" s="8"/>
      <c r="M43" s="8"/>
      <c r="N43" s="8"/>
      <c r="O43" s="8"/>
      <c r="P43" s="8"/>
      <c r="Q43" s="8"/>
      <c r="AF43" s="613"/>
      <c r="AG43" s="611"/>
      <c r="AH43" s="2" t="str">
        <f>AM42&amp;IF(H43&lt;&gt;0,VLOOKUP($H43,ELENCHI!$BG$24:$CB$123,16,FALSE)&amp;T43&amp;VLOOKUP($H43,ELENCHI!$BG$24:$CB$123,17,FALSE)&amp;W43&amp;VLOOKUP($H43,ELENCHI!$BG$24:$CB$123,18,FALSE)&amp;Z43&amp;VLOOKUP($H43,ELENCHI!$BG$24:$CB$123,19,FALSE)&amp;AC43&amp;VLOOKUP($H43,ELENCHI!$BG$24:$CB$123,20,FALSE)&amp;AF43&amp;CHAR(10),I43&amp;IF(IFERROR(FIND(CHAR(10),LEFT(B43,LUNGH),1),0)&gt;0,CHAR(10),""))</f>
        <v/>
      </c>
      <c r="AI43" s="3" t="str">
        <f t="shared" si="50"/>
        <v xml:space="preserve"> </v>
      </c>
      <c r="AJ43" s="3">
        <f t="shared" si="51"/>
        <v>999</v>
      </c>
      <c r="AK43" s="3">
        <f t="shared" si="52"/>
        <v>999</v>
      </c>
      <c r="AL43" s="114" t="str">
        <f t="shared" si="39"/>
        <v xml:space="preserve">                                                     </v>
      </c>
      <c r="AM43" s="20" t="str">
        <f t="shared" si="40"/>
        <v/>
      </c>
      <c r="AN43" s="608"/>
      <c r="AO43" s="608"/>
      <c r="AP43" s="608"/>
    </row>
    <row r="44" spans="1:45" ht="45" customHeight="1" x14ac:dyDescent="0.25">
      <c r="A44" s="624"/>
      <c r="B44" s="625"/>
      <c r="AF44" s="609" t="s">
        <v>805</v>
      </c>
      <c r="AG44" s="610"/>
      <c r="AH44" s="438" t="str">
        <f>CONCATENATE(AL33,AL34,AL35,AL36,AL37,AL38,AL39,AL40,AL41,AL42,AL43)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I44" s="429"/>
      <c r="AJ44" s="429"/>
      <c r="AK44" s="429"/>
      <c r="AL44" s="429"/>
      <c r="AM44" s="429"/>
      <c r="AN44" s="608"/>
      <c r="AO44" s="608"/>
      <c r="AP44" s="608"/>
      <c r="AQ44" s="8"/>
      <c r="AR44" s="8"/>
      <c r="AS44" s="8"/>
    </row>
    <row r="45" spans="1:45" ht="18.75" customHeight="1" x14ac:dyDescent="0.25">
      <c r="AF45" s="442"/>
      <c r="AG45" s="442"/>
      <c r="AH45" s="443"/>
      <c r="AI45" s="429"/>
      <c r="AJ45" s="429"/>
      <c r="AK45" s="429"/>
      <c r="AL45" s="429"/>
      <c r="AM45" s="429"/>
      <c r="AN45" s="8"/>
      <c r="AO45" s="8"/>
      <c r="AP45" s="8"/>
      <c r="AQ45" s="8"/>
      <c r="AR45" s="8"/>
      <c r="AS45" s="8"/>
    </row>
    <row r="46" spans="1:45" ht="18.75" customHeight="1" x14ac:dyDescent="0.25">
      <c r="AF46" s="442"/>
      <c r="AG46" s="442"/>
      <c r="AH46" s="443"/>
      <c r="AI46" s="429"/>
      <c r="AJ46" s="429"/>
      <c r="AK46" s="429"/>
      <c r="AL46" s="429"/>
      <c r="AM46" s="429"/>
      <c r="AN46" s="8"/>
      <c r="AO46" s="8"/>
      <c r="AP46" s="8"/>
      <c r="AQ46" s="8"/>
      <c r="AR46" s="8"/>
      <c r="AS46" s="8"/>
    </row>
    <row r="47" spans="1:45" ht="18.75" customHeight="1" x14ac:dyDescent="0.25">
      <c r="AF47" s="442"/>
      <c r="AG47" s="442"/>
      <c r="AH47" s="443"/>
      <c r="AI47" s="429"/>
      <c r="AJ47" s="429"/>
      <c r="AK47" s="429"/>
      <c r="AL47" s="429"/>
      <c r="AM47" s="429"/>
      <c r="AN47" s="8"/>
      <c r="AO47" s="8"/>
      <c r="AP47" s="8"/>
      <c r="AQ47" s="8"/>
      <c r="AR47" s="8"/>
      <c r="AS47" s="8"/>
    </row>
    <row r="48" spans="1:45" ht="18.75" customHeight="1" x14ac:dyDescent="0.25">
      <c r="AF48" s="442"/>
      <c r="AG48" s="442"/>
      <c r="AH48" s="443"/>
      <c r="AI48" s="429"/>
      <c r="AJ48" s="429"/>
      <c r="AK48" s="429"/>
      <c r="AL48" s="429"/>
      <c r="AM48" s="429"/>
      <c r="AN48" s="8"/>
      <c r="AO48" s="8"/>
      <c r="AP48" s="8"/>
      <c r="AQ48" s="8"/>
      <c r="AR48" s="8"/>
      <c r="AS48" s="8"/>
    </row>
    <row r="49" spans="1:45" ht="18.75" customHeight="1" x14ac:dyDescent="0.25">
      <c r="AF49" s="442"/>
      <c r="AG49" s="442"/>
      <c r="AH49" s="443"/>
      <c r="AI49" s="429"/>
      <c r="AJ49" s="429"/>
      <c r="AK49" s="429"/>
      <c r="AL49" s="429"/>
      <c r="AM49" s="429"/>
      <c r="AN49" s="8"/>
      <c r="AO49" s="8"/>
      <c r="AP49" s="8"/>
      <c r="AQ49" s="8"/>
      <c r="AR49" s="8"/>
      <c r="AS49" s="8"/>
    </row>
    <row r="50" spans="1:45" s="502" customFormat="1" ht="33.75" x14ac:dyDescent="0.5">
      <c r="A50" s="499" t="s">
        <v>807</v>
      </c>
      <c r="B50" s="500"/>
      <c r="C50" s="500"/>
      <c r="D50" s="500"/>
      <c r="E50" s="500"/>
      <c r="F50" s="500"/>
      <c r="G50" s="500"/>
      <c r="H50" s="500"/>
      <c r="I50" s="500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</row>
    <row r="51" spans="1:45" ht="15.75" thickBot="1" x14ac:dyDescent="0.3">
      <c r="A51" s="5" t="s">
        <v>108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5" ht="156.75" customHeight="1" thickBot="1" x14ac:dyDescent="0.3">
      <c r="A52" s="481" t="str">
        <f>UPPER(INSERIMENTO!CP10)</f>
        <v/>
      </c>
      <c r="B52" s="498"/>
      <c r="C52" s="15"/>
      <c r="D52" s="15"/>
      <c r="E52" s="15"/>
      <c r="F52" s="15"/>
      <c r="G52" s="15"/>
      <c r="I52" s="7"/>
    </row>
    <row r="53" spans="1:45" x14ac:dyDescent="0.25">
      <c r="A53" s="8"/>
      <c r="B53" s="8"/>
      <c r="F53" s="8"/>
      <c r="G53" s="8"/>
      <c r="H53" s="8"/>
      <c r="I53" s="8"/>
      <c r="J53" s="16" t="s">
        <v>770</v>
      </c>
      <c r="K53" s="106"/>
    </row>
    <row r="54" spans="1:45" x14ac:dyDescent="0.25">
      <c r="C54" s="612" t="s">
        <v>771</v>
      </c>
      <c r="D54" s="612"/>
      <c r="E54" s="612"/>
      <c r="J54" s="436">
        <f>SUM(J56:J64)-LEN(I65)</f>
        <v>424</v>
      </c>
      <c r="K54" s="617" t="s">
        <v>771</v>
      </c>
      <c r="L54" s="615"/>
      <c r="M54" s="615"/>
      <c r="N54" s="615"/>
      <c r="O54" s="615"/>
      <c r="P54" s="615"/>
      <c r="Q54" s="616"/>
      <c r="R54" s="617" t="s">
        <v>772</v>
      </c>
      <c r="S54" s="615"/>
      <c r="T54" s="615"/>
      <c r="U54" s="615"/>
      <c r="V54" s="615"/>
      <c r="W54" s="615"/>
      <c r="X54" s="615"/>
      <c r="Y54" s="615"/>
      <c r="Z54" s="615"/>
      <c r="AA54" s="615"/>
      <c r="AB54" s="615"/>
      <c r="AC54" s="615"/>
      <c r="AD54" s="615"/>
      <c r="AE54" s="615"/>
      <c r="AF54" s="615"/>
      <c r="AI54" s="612" t="s">
        <v>773</v>
      </c>
      <c r="AJ54" s="612"/>
      <c r="AK54" s="612"/>
      <c r="AN54" s="460" t="s">
        <v>861</v>
      </c>
      <c r="AO54" s="460"/>
      <c r="AP54" s="460"/>
    </row>
    <row r="55" spans="1:45" x14ac:dyDescent="0.25">
      <c r="A55" s="10" t="s">
        <v>774</v>
      </c>
      <c r="B55" s="9"/>
      <c r="C55" s="447" t="s">
        <v>775</v>
      </c>
      <c r="D55" s="447" t="s">
        <v>776</v>
      </c>
      <c r="E55" s="447" t="s">
        <v>777</v>
      </c>
      <c r="F55" s="447" t="s">
        <v>778</v>
      </c>
      <c r="G55" s="447" t="s">
        <v>779</v>
      </c>
      <c r="H55" s="447" t="s">
        <v>233</v>
      </c>
      <c r="I55" s="447" t="s">
        <v>780</v>
      </c>
      <c r="J55" s="434" t="s">
        <v>781</v>
      </c>
      <c r="K55" s="431">
        <v>0</v>
      </c>
      <c r="L55" s="16" t="s">
        <v>782</v>
      </c>
      <c r="M55" s="16" t="s">
        <v>783</v>
      </c>
      <c r="N55" s="16" t="s">
        <v>784</v>
      </c>
      <c r="O55" s="16" t="s">
        <v>785</v>
      </c>
      <c r="P55" s="16" t="s">
        <v>786</v>
      </c>
      <c r="Q55" s="16" t="s">
        <v>787</v>
      </c>
      <c r="R55" s="16" t="s">
        <v>782</v>
      </c>
      <c r="S55" s="16" t="s">
        <v>788</v>
      </c>
      <c r="T55" s="16" t="s">
        <v>789</v>
      </c>
      <c r="U55" s="16" t="s">
        <v>783</v>
      </c>
      <c r="V55" s="16" t="s">
        <v>790</v>
      </c>
      <c r="W55" s="16" t="s">
        <v>791</v>
      </c>
      <c r="X55" s="16" t="s">
        <v>784</v>
      </c>
      <c r="Y55" s="16" t="s">
        <v>792</v>
      </c>
      <c r="Z55" s="16" t="s">
        <v>793</v>
      </c>
      <c r="AA55" s="16" t="s">
        <v>785</v>
      </c>
      <c r="AB55" s="16" t="s">
        <v>794</v>
      </c>
      <c r="AC55" s="16" t="s">
        <v>795</v>
      </c>
      <c r="AD55" s="16" t="s">
        <v>786</v>
      </c>
      <c r="AE55" s="16" t="s">
        <v>796</v>
      </c>
      <c r="AF55" s="16" t="s">
        <v>797</v>
      </c>
      <c r="AG55" s="16" t="s">
        <v>798</v>
      </c>
      <c r="AH55" s="16" t="s">
        <v>799</v>
      </c>
      <c r="AI55" s="447" t="s">
        <v>775</v>
      </c>
      <c r="AJ55" s="447" t="s">
        <v>776</v>
      </c>
      <c r="AK55" s="447" t="s">
        <v>777</v>
      </c>
      <c r="AL55" s="447" t="s">
        <v>800</v>
      </c>
      <c r="AM55" s="447" t="s">
        <v>801</v>
      </c>
      <c r="AN55" s="461" t="s">
        <v>862</v>
      </c>
      <c r="AO55" s="461" t="s">
        <v>863</v>
      </c>
      <c r="AP55" s="461" t="s">
        <v>864</v>
      </c>
    </row>
    <row r="56" spans="1:45" x14ac:dyDescent="0.25">
      <c r="A56" s="2">
        <f>IF((ROW()-ROW($A$56))+SUM(STRINGA!$I$7:$M$7)&lt;=NUMRD*2+NUMRDJ,ROW()-ROW($A$56),"")</f>
        <v>0</v>
      </c>
      <c r="B56" s="11" t="s">
        <v>802</v>
      </c>
      <c r="C56" s="13"/>
      <c r="D56" s="13"/>
      <c r="E56" s="13"/>
      <c r="F56" s="13"/>
      <c r="G56" s="13"/>
      <c r="H56" s="13"/>
      <c r="I56" s="13"/>
      <c r="J56" s="435"/>
      <c r="K56" s="43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341"/>
      <c r="AN56" s="13"/>
      <c r="AO56" s="13"/>
      <c r="AP56" s="13"/>
    </row>
    <row r="57" spans="1:45" x14ac:dyDescent="0.25">
      <c r="A57" s="2">
        <f>IF((ROW()-ROW($A$56))+SUM(STRINGA!$I$7:$M$7)&lt;=NUMRD*2+NUMRDJ,ROW()-ROW($A$56),"")</f>
        <v>1</v>
      </c>
      <c r="B57" s="14" t="str">
        <f t="shared" ref="B57:B65" si="58">IF(OR(LEFT(IFERROR(G56&amp;MID($A$52,(A56)*LUNGH+1,LUNGH),""),1)=CHAR(10),LEFT(IFERROR(G56&amp;MID($A$52,(A56)*LUNGH+1,LUNGH),""),1)=" "),MID(IFERROR(G56&amp;MID($A$52,(A56)*LUNGH+1,LUNGH),""),2,999),IFERROR(G56&amp;MID($A$52,(A56)*LUNGH+1,LUNGH),""))</f>
        <v/>
      </c>
      <c r="C57" s="3" t="str">
        <f t="shared" ref="C57:C65" si="59">IFERROR(FIND("*",B57)," ")</f>
        <v xml:space="preserve"> </v>
      </c>
      <c r="D57" s="3">
        <f>IFERROR(IF(C57=1,FIND("*",B57,C57+1),999),999)</f>
        <v>999</v>
      </c>
      <c r="E57" s="3">
        <f t="shared" ref="E57:E61" si="60">IFERROR(FIND(CHAR(10),B57,2)-1-IF(LEFT(B57,1)=CHAR(10),1,0),999)</f>
        <v>999</v>
      </c>
      <c r="F57" s="19" t="str">
        <f t="shared" ref="F57:F65" si="61">IF(A57&lt;&gt;"",LEFT(LEFT(CLEAN(B57),MIN(D57,E57))&amp;SPAZI,LUNGH),"")</f>
        <v xml:space="preserve">                                                     </v>
      </c>
      <c r="G57" s="20" t="str">
        <f t="shared" ref="G57:G65" si="62">MID(B57,MIN(D57+1,E57+2,LUNGH+1+IF(E57=LUNGH,1,0)+IF(LEFT(B57,1)=CHAR(10),1,0)),1000)</f>
        <v/>
      </c>
      <c r="H57" s="3">
        <f t="shared" ref="H57:H65" si="63">IF(IFERROR(LEFT(F57,MIN(IFERROR(FIND("=",F57,2)-1,1000),FIND("*",F57,2)-1)),0)="*SOSPE",LEFT(F57,8),IFERROR(IF(C57=1,LEFT(F57,MIN(IFERROR(FIND("=",F57,2)-1,1000),FIND("*",F57,2)-1)),0),0))</f>
        <v>0</v>
      </c>
      <c r="I57" s="2" t="str">
        <f t="shared" ref="I57:I64" si="64">CLEAN(LEFT(LEFT(CLEAN(B57),MIN(D57,E57)),LUNGH))</f>
        <v/>
      </c>
      <c r="J57" s="436">
        <f t="shared" ref="J57:J63" si="65">IF(I58&lt;&gt;"","",LEN(F57)-LEN(I57))</f>
        <v>53</v>
      </c>
      <c r="K57" s="433" t="str">
        <f t="shared" ref="K57:K64" si="66">"0"</f>
        <v>0</v>
      </c>
      <c r="L57" s="2" t="str">
        <f t="shared" ref="L57:P64" si="67">IF(LEFT($F57,1)="*",IFERROR(FIND("=",$F57,K57+1),$D57),"")</f>
        <v/>
      </c>
      <c r="M57" s="2" t="str">
        <f t="shared" si="67"/>
        <v/>
      </c>
      <c r="N57" s="2" t="str">
        <f t="shared" si="67"/>
        <v/>
      </c>
      <c r="O57" s="2" t="str">
        <f t="shared" si="67"/>
        <v/>
      </c>
      <c r="P57" s="2" t="str">
        <f t="shared" si="67"/>
        <v/>
      </c>
      <c r="Q57" s="2" t="str">
        <f t="shared" ref="Q57:Q64" si="68">IF(LEFT($F57,1)="*",IFERROR(FIND("=",$F57,O57+1),$D57),"")</f>
        <v/>
      </c>
      <c r="R57" s="105" t="str">
        <f>IF(LEFT($H57,6)="*SOSPE"," ",IF(LEFT($F57,1)="*",MID($F57,L57+1,MAX(M57-L57-1,0)),""))</f>
        <v/>
      </c>
      <c r="S57" s="105" t="str">
        <f>IF(LEFT($F57,1)="*",IF(VLOOKUP($H57,ELENCHI!$BG$24:$BO$123,5,FALSE)=LEN(R57),0,1),"")</f>
        <v/>
      </c>
      <c r="T57" s="105" t="str">
        <f>IF(S57=0,IFERROR(LEFT(R57,VLOOKUP($H57,ELENCHI!$BG$24:$CB$123,5,FALSE)-VLOOKUP($H57,ELENCHI!$BG$24:$CB$123,10,FALSE))&amp;IF(VLOOKUP($H57,ELENCHI!$BG$24:$CB$123,10,FALSE)=0,"",",")&amp;RIGHT(R57,VLOOKUP($H57,ELENCHI!$BG$24:$CB$123,10,FALSE)),""),"!!!")</f>
        <v>!!!</v>
      </c>
      <c r="U57" s="2" t="str">
        <f>IF(LEFT($F57,1)="*",MID($F57,M57+1,MAX(N57-M57-1,0)),"")</f>
        <v/>
      </c>
      <c r="V57" s="2" t="str">
        <f>IF(LEFT($F57,1)="*",IF(VLOOKUP($H57,ELENCHI!$BG$24:$BO$123,6,FALSE)=LEN(U57),0,1),"")</f>
        <v/>
      </c>
      <c r="W57" s="2" t="str">
        <f>IF(V57=0,IFERROR(LEFT(U57,VLOOKUP($H57,ELENCHI!$BG$24:$CB$123,6,FALSE)-VLOOKUP($H57,ELENCHI!$BG$24:$CB$123,11,FALSE))&amp;IF(VLOOKUP($H57,ELENCHI!$BG$24:$CB$123,11,FALSE)=0,"",",")&amp;RIGHT(U57,VLOOKUP($H57,ELENCHI!$BG$24:$CB$123,11,FALSE)),""),"!!!")</f>
        <v>!!!</v>
      </c>
      <c r="X57" s="105" t="str">
        <f>IF(LEFT($F57,1)="*",MID($F57,N57+1,MAX(O57-N57-1,0)),"")</f>
        <v/>
      </c>
      <c r="Y57" s="105" t="str">
        <f>IF(LEFT($F57,1)="*",IF(VLOOKUP($H57,ELENCHI!$BG$24:$BO$123,7,FALSE)=LEN(X57),0,1),"")</f>
        <v/>
      </c>
      <c r="Z57" s="105" t="str">
        <f>IF(Y57=0,IFERROR(LEFT(X57,VLOOKUP($H57,ELENCHI!$BG$24:$CB$123,7,FALSE)-VLOOKUP($H57,ELENCHI!$BG$24:$CB$123,12,FALSE))&amp;IF(VLOOKUP($H57,ELENCHI!$BG$24:$CB$123,12,FALSE)=0,"",",")&amp;RIGHT(X57,VLOOKUP($H57,ELENCHI!$BG$24:$CB$123,12,FALSE)),""),"!!!")</f>
        <v>!!!</v>
      </c>
      <c r="AA57" s="113" t="str">
        <f>IF(LEFT($F57,1)="*",MID($F57,O57+1,MAX(P57-O57-1,0)),"")</f>
        <v/>
      </c>
      <c r="AB57" s="113" t="str">
        <f>IF(LEFT($F57,1)="*",IF(VLOOKUP($H57,ELENCHI!$BG$24:$BO$123,8,FALSE)=LEN(AA57),0,1),"")</f>
        <v/>
      </c>
      <c r="AC57" s="113" t="str">
        <f>IF(AB57=0,IFERROR(LEFT(AA57,VLOOKUP($H57,ELENCHI!$BG$24:$CB$123,8,FALSE)-VLOOKUP($H57,ELENCHI!$BG$24:$CB$123,13,FALSE))&amp;IF(VLOOKUP($H57,ELENCHI!$BG$24:$CB$123,13,FALSE)=0,"",",")&amp;RIGHT(AA57,VLOOKUP($H57,ELENCHI!$BG$24:$CB$123,13,FALSE)),""),"!!!")</f>
        <v>!!!</v>
      </c>
      <c r="AD57" s="105" t="str">
        <f>IF(LEFT($F57,1)="*",MID($F57,P57+1,MAX(Q57-P57-1,0)),"")</f>
        <v/>
      </c>
      <c r="AE57" s="105" t="str">
        <f>IF(LEFT($F57,1)="*",IF(VLOOKUP($H57,ELENCHI!$BG$24:$BO$123,9,FALSE)=LEN(AD57),0,1),"")</f>
        <v/>
      </c>
      <c r="AF57" s="105" t="str">
        <f>IF(AE57=0,IFERROR(LEFT(AD57,VLOOKUP($H57,ELENCHI!$BG$24:$CB$123,9,FALSE)-VLOOKUP($H57,ELENCHI!$BG$24:$CB$123,14,FALSE))&amp;IF(VLOOKUP($H57,ELENCHI!$BG$24:$CB$123,14,FALSE)=0,"",",")&amp;RIGHT(AD57,VLOOKUP($H57,ELENCHI!$BG$24:$CB$123,14,FALSE)),""),"!!!")</f>
        <v>!!!</v>
      </c>
      <c r="AG57" s="117">
        <f>SUM(S57,V57,Y57,AB57,AE57)</f>
        <v>0</v>
      </c>
      <c r="AH57" s="2" t="str">
        <f>AM56&amp;IF(H57&lt;&gt;0,VLOOKUP($H57,ELENCHI!$BG$24:$CB$123,16,FALSE)&amp;T57&amp;VLOOKUP($H57,ELENCHI!$BG$24:$CB$123,17,FALSE)&amp;W57&amp;VLOOKUP($H57,ELENCHI!$BG$24:$CB$123,18,FALSE)&amp;Z57&amp;VLOOKUP($H57,ELENCHI!$BG$24:$CB$123,19,FALSE)&amp;AC57&amp;VLOOKUP($H57,ELENCHI!$BG$24:$CB$123,20,FALSE)&amp;AF57&amp;CHAR(10),I57&amp;IF(IFERROR(FIND(CHAR(10),LEFT(B57,LUNGH),1),0)&gt;0,CHAR(10),""))</f>
        <v/>
      </c>
      <c r="AI57" s="3" t="str">
        <f>IFERROR(FIND("*",AH57)," ")</f>
        <v xml:space="preserve"> </v>
      </c>
      <c r="AJ57" s="3">
        <f>IFERROR(IF(AI57=1,FIND("*",AH57,AI57+1),999),999)</f>
        <v>999</v>
      </c>
      <c r="AK57" s="3">
        <f>IFERROR(FIND(CHAR(10),AH57,2)-1,999)</f>
        <v>999</v>
      </c>
      <c r="AL57" s="114" t="str">
        <f t="shared" ref="AL57:AL67" si="69">IFERROR(LEFT(LEFT(CLEAN(AH57),MIN(AJ57,AK57))&amp;SPAZI,LUNGH),"!!!")</f>
        <v xml:space="preserve">                                                     </v>
      </c>
      <c r="AM57" s="20" t="str">
        <f t="shared" ref="AM57:AM67" si="70">MID(AH57,MIN(AJ57+1,AK57+2,LUNGH+1),1000)</f>
        <v/>
      </c>
      <c r="AN57" s="2">
        <f>A57</f>
        <v>1</v>
      </c>
      <c r="AO57" s="462" t="str">
        <f>IF(AN57&lt;&gt;"",F57,"------  RIGA OCCUPATA DA PRESCRIZIONI TECNICHE ------")</f>
        <v xml:space="preserve">                                                     </v>
      </c>
      <c r="AP57" s="462" t="str">
        <f>AN57&amp;"       "&amp;AO57&amp;CHAR(10)</f>
        <v xml:space="preserve">1                                                            
</v>
      </c>
    </row>
    <row r="58" spans="1:45" x14ac:dyDescent="0.25">
      <c r="A58" s="2">
        <f>IF((ROW()-ROW($A$56))+SUM(STRINGA!$I$7:$M$7)&lt;=NUMRD*2+NUMRDJ,ROW()-ROW($A$56),"")</f>
        <v>2</v>
      </c>
      <c r="B58" s="14" t="str">
        <f t="shared" si="58"/>
        <v/>
      </c>
      <c r="C58" s="3" t="str">
        <f t="shared" si="59"/>
        <v xml:space="preserve"> </v>
      </c>
      <c r="D58" s="3">
        <f t="shared" ref="D58:D65" si="71">IFERROR(IF(C58=1,FIND("*",B58,C58+1),999),999)</f>
        <v>999</v>
      </c>
      <c r="E58" s="3">
        <f t="shared" si="60"/>
        <v>999</v>
      </c>
      <c r="F58" s="19" t="str">
        <f t="shared" si="61"/>
        <v xml:space="preserve">                                                     </v>
      </c>
      <c r="G58" s="20" t="str">
        <f t="shared" si="62"/>
        <v/>
      </c>
      <c r="H58" s="3">
        <f t="shared" si="63"/>
        <v>0</v>
      </c>
      <c r="I58" s="2" t="str">
        <f t="shared" si="64"/>
        <v/>
      </c>
      <c r="J58" s="436">
        <f t="shared" si="65"/>
        <v>53</v>
      </c>
      <c r="K58" s="433" t="str">
        <f t="shared" si="66"/>
        <v>0</v>
      </c>
      <c r="L58" s="2" t="str">
        <f t="shared" si="67"/>
        <v/>
      </c>
      <c r="M58" s="2" t="str">
        <f t="shared" si="67"/>
        <v/>
      </c>
      <c r="N58" s="2" t="str">
        <f t="shared" si="67"/>
        <v/>
      </c>
      <c r="O58" s="2" t="str">
        <f t="shared" si="67"/>
        <v/>
      </c>
      <c r="P58" s="2" t="str">
        <f t="shared" si="67"/>
        <v/>
      </c>
      <c r="Q58" s="2" t="str">
        <f t="shared" si="68"/>
        <v/>
      </c>
      <c r="R58" s="105" t="str">
        <f t="shared" ref="R58:R64" si="72">IF(LEFT($H58,6)="*SOSPE"," ",IF(LEFT($F58,1)="*",MID($F58,L58+1,MAX(M58-L58-1,0)),""))</f>
        <v/>
      </c>
      <c r="S58" s="105" t="str">
        <f>IF(LEFT($F58,1)="*",IF(VLOOKUP($H58,ELENCHI!$BG$24:$BO$123,5,FALSE)=LEN(R58),0,1),"")</f>
        <v/>
      </c>
      <c r="T58" s="105" t="str">
        <f>IF(S58=0,IFERROR(LEFT(R58,VLOOKUP($H58,ELENCHI!$BG$24:$CB$123,5,FALSE)-VLOOKUP($H58,ELENCHI!$BG$24:$CB$123,10,FALSE))&amp;IF(VLOOKUP($H58,ELENCHI!$BG$24:$CB$123,10,FALSE)=0,"",",")&amp;RIGHT(R58,VLOOKUP($H58,ELENCHI!$BG$24:$CB$123,10,FALSE)),""),"!!!")</f>
        <v>!!!</v>
      </c>
      <c r="U58" s="2" t="str">
        <f t="shared" ref="U58:U64" si="73">IF(LEFT($F58,1)="*",MID($F58,M58+1,MAX(N58-M58-1,0)),"")</f>
        <v/>
      </c>
      <c r="V58" s="2" t="str">
        <f>IF(LEFT($F58,1)="*",IF(VLOOKUP($H58,ELENCHI!$BG$24:$BO$123,6,FALSE)=LEN(U58),0,1),"")</f>
        <v/>
      </c>
      <c r="W58" s="2" t="str">
        <f>IF(V58=0,IFERROR(LEFT(U58,VLOOKUP($H58,ELENCHI!$BG$24:$CB$123,6,FALSE)-VLOOKUP($H58,ELENCHI!$BG$24:$CB$123,11,FALSE))&amp;IF(VLOOKUP($H58,ELENCHI!$BG$24:$CB$123,11,FALSE)=0,"",",")&amp;RIGHT(U58,VLOOKUP($H58,ELENCHI!$BG$24:$CB$123,11,FALSE)),""),"!!!")</f>
        <v>!!!</v>
      </c>
      <c r="X58" s="105" t="str">
        <f t="shared" ref="X58:X64" si="74">IF(LEFT($F58,1)="*",MID($F58,N58+1,MAX(O58-N58-1,0)),"")</f>
        <v/>
      </c>
      <c r="Y58" s="105" t="str">
        <f>IF(LEFT($F58,1)="*",IF(VLOOKUP($H58,ELENCHI!$BG$24:$BO$123,7,FALSE)=LEN(X58),0,1),"")</f>
        <v/>
      </c>
      <c r="Z58" s="105" t="str">
        <f>IF(Y58=0,IFERROR(LEFT(X58,VLOOKUP($H58,ELENCHI!$BG$24:$CB$123,7,FALSE)-VLOOKUP($H58,ELENCHI!$BG$24:$CB$123,12,FALSE))&amp;IF(VLOOKUP($H58,ELENCHI!$BG$24:$CB$123,12,FALSE)=0,"",",")&amp;RIGHT(X58,VLOOKUP($H58,ELENCHI!$BG$24:$CB$123,12,FALSE)),""),"!!!")</f>
        <v>!!!</v>
      </c>
      <c r="AA58" s="113" t="str">
        <f t="shared" ref="AA58:AA64" si="75">IF(LEFT($F58,1)="*",MID($F58,O58+1,MAX(P58-O58-1,0)),"")</f>
        <v/>
      </c>
      <c r="AB58" s="113" t="str">
        <f>IF(LEFT($F58,1)="*",IF(VLOOKUP($H58,ELENCHI!$BG$24:$BO$123,8,FALSE)=LEN(AA58),0,1),"")</f>
        <v/>
      </c>
      <c r="AC58" s="113" t="str">
        <f>IF(AB58=0,IFERROR(LEFT(AA58,VLOOKUP($H58,ELENCHI!$BG$24:$CB$123,8,FALSE)-VLOOKUP($H58,ELENCHI!$BG$24:$CB$123,13,FALSE))&amp;IF(VLOOKUP($H58,ELENCHI!$BG$24:$CB$123,13,FALSE)=0,"",",")&amp;RIGHT(AA58,VLOOKUP($H58,ELENCHI!$BG$24:$CB$123,13,FALSE)),""),"!!!")</f>
        <v>!!!</v>
      </c>
      <c r="AD58" s="105" t="str">
        <f t="shared" ref="AD58:AD64" si="76">IF(LEFT($F58,1)="*",MID($F58,P58+1,MAX(Q58-P58-1,0)),"")</f>
        <v/>
      </c>
      <c r="AE58" s="105" t="str">
        <f>IF(LEFT($F58,1)="*",IF(VLOOKUP($H58,ELENCHI!$BG$24:$BO$123,9,FALSE)=LEN(AD58),0,1),"")</f>
        <v/>
      </c>
      <c r="AF58" s="105" t="str">
        <f>IF(AE58=0,IFERROR(LEFT(AD58,VLOOKUP($H58,ELENCHI!$BG$24:$CB$123,9,FALSE)-VLOOKUP($H58,ELENCHI!$BG$24:$CB$123,14,FALSE))&amp;IF(VLOOKUP($H58,ELENCHI!$BG$24:$CB$123,14,FALSE)=0,"",",")&amp;RIGHT(AD58,VLOOKUP($H58,ELENCHI!$BG$24:$CB$123,14,FALSE)),""),"!!!")</f>
        <v>!!!</v>
      </c>
      <c r="AG58" s="117">
        <f t="shared" ref="AG58:AG64" si="77">SUM(S58,V58,Y58,AB58,AE58)</f>
        <v>0</v>
      </c>
      <c r="AH58" s="2" t="str">
        <f>AM57&amp;IF(H58&lt;&gt;0,VLOOKUP($H58,ELENCHI!$BG$24:$CB$123,16,FALSE)&amp;T58&amp;VLOOKUP($H58,ELENCHI!$BG$24:$CB$123,17,FALSE)&amp;W58&amp;VLOOKUP($H58,ELENCHI!$BG$24:$CB$123,18,FALSE)&amp;Z58&amp;VLOOKUP($H58,ELENCHI!$BG$24:$CB$123,19,FALSE)&amp;AC58&amp;VLOOKUP($H58,ELENCHI!$BG$24:$CB$123,20,FALSE)&amp;AF58&amp;CHAR(10),I58&amp;IF(IFERROR(FIND(CHAR(10),LEFT(B58,LUNGH),1),0)&gt;0,CHAR(10),""))</f>
        <v/>
      </c>
      <c r="AI58" s="3" t="str">
        <f t="shared" ref="AI58:AI67" si="78">IFERROR(FIND("*",AH58)," ")</f>
        <v xml:space="preserve"> </v>
      </c>
      <c r="AJ58" s="3">
        <f t="shared" ref="AJ58:AJ67" si="79">IFERROR(IF(AI58=1,FIND("*",AH58,AI58+1),999),999)</f>
        <v>999</v>
      </c>
      <c r="AK58" s="3">
        <f t="shared" ref="AK58:AK67" si="80">IFERROR(FIND(CHAR(10),AH58,2)-1,999)</f>
        <v>999</v>
      </c>
      <c r="AL58" s="114" t="str">
        <f t="shared" si="69"/>
        <v xml:space="preserve">                                                     </v>
      </c>
      <c r="AM58" s="20" t="str">
        <f t="shared" si="70"/>
        <v/>
      </c>
      <c r="AN58" s="2">
        <f t="shared" ref="AN58:AN64" si="81">A58</f>
        <v>2</v>
      </c>
      <c r="AO58" s="462" t="str">
        <f t="shared" ref="AO58:AO64" si="82">IF(AN58&lt;&gt;"",F58,"------  RIGA OCCUPATA DA PRESCRIZIONI TECNICHE ------")</f>
        <v xml:space="preserve">                                                     </v>
      </c>
      <c r="AP58" s="462" t="str">
        <f t="shared" ref="AP58:AP64" si="83">AN58&amp;"       "&amp;AO58&amp;CHAR(10)</f>
        <v xml:space="preserve">2                                                            
</v>
      </c>
    </row>
    <row r="59" spans="1:45" x14ac:dyDescent="0.25">
      <c r="A59" s="2">
        <f>IF((ROW()-ROW($A$56))+SUM(STRINGA!$I$7:$M$7)&lt;=NUMRD*2+NUMRDJ,ROW()-ROW($A$56),"")</f>
        <v>3</v>
      </c>
      <c r="B59" s="14" t="str">
        <f t="shared" si="58"/>
        <v/>
      </c>
      <c r="C59" s="3" t="str">
        <f t="shared" si="59"/>
        <v xml:space="preserve"> </v>
      </c>
      <c r="D59" s="3">
        <f t="shared" si="71"/>
        <v>999</v>
      </c>
      <c r="E59" s="3">
        <f t="shared" si="60"/>
        <v>999</v>
      </c>
      <c r="F59" s="19" t="str">
        <f t="shared" si="61"/>
        <v xml:space="preserve">                                                     </v>
      </c>
      <c r="G59" s="20" t="str">
        <f t="shared" si="62"/>
        <v/>
      </c>
      <c r="H59" s="3">
        <f t="shared" si="63"/>
        <v>0</v>
      </c>
      <c r="I59" s="2" t="str">
        <f t="shared" si="64"/>
        <v/>
      </c>
      <c r="J59" s="436">
        <f t="shared" si="65"/>
        <v>53</v>
      </c>
      <c r="K59" s="433" t="str">
        <f t="shared" si="66"/>
        <v>0</v>
      </c>
      <c r="L59" s="2" t="str">
        <f t="shared" si="67"/>
        <v/>
      </c>
      <c r="M59" s="2" t="str">
        <f t="shared" si="67"/>
        <v/>
      </c>
      <c r="N59" s="2" t="str">
        <f t="shared" si="67"/>
        <v/>
      </c>
      <c r="O59" s="2" t="str">
        <f t="shared" si="67"/>
        <v/>
      </c>
      <c r="P59" s="2" t="str">
        <f t="shared" si="67"/>
        <v/>
      </c>
      <c r="Q59" s="2" t="str">
        <f t="shared" si="68"/>
        <v/>
      </c>
      <c r="R59" s="105" t="str">
        <f t="shared" si="72"/>
        <v/>
      </c>
      <c r="S59" s="105" t="str">
        <f>IF(LEFT($F59,1)="*",IF(VLOOKUP($H59,ELENCHI!$BG$24:$BO$123,5,FALSE)=LEN(R59),0,1),"")</f>
        <v/>
      </c>
      <c r="T59" s="105" t="str">
        <f>IF(S59=0,IFERROR(LEFT(R59,VLOOKUP($H59,ELENCHI!$BG$24:$CB$123,5,FALSE)-VLOOKUP($H59,ELENCHI!$BG$24:$CB$123,10,FALSE))&amp;IF(VLOOKUP($H59,ELENCHI!$BG$24:$CB$123,10,FALSE)=0,"",",")&amp;RIGHT(R59,VLOOKUP($H59,ELENCHI!$BG$24:$CB$123,10,FALSE)),""),"!!!")</f>
        <v>!!!</v>
      </c>
      <c r="U59" s="2" t="str">
        <f t="shared" si="73"/>
        <v/>
      </c>
      <c r="V59" s="2" t="str">
        <f>IF(LEFT($F59,1)="*",IF(VLOOKUP($H59,ELENCHI!$BG$24:$BO$123,6,FALSE)=LEN(U59),0,1),"")</f>
        <v/>
      </c>
      <c r="W59" s="2" t="str">
        <f>IF(V59=0,IFERROR(LEFT(U59,VLOOKUP($H59,ELENCHI!$BG$24:$CB$123,6,FALSE)-VLOOKUP($H59,ELENCHI!$BG$24:$CB$123,11,FALSE))&amp;IF(VLOOKUP($H59,ELENCHI!$BG$24:$CB$123,11,FALSE)=0,"",",")&amp;RIGHT(U59,VLOOKUP($H59,ELENCHI!$BG$24:$CB$123,11,FALSE)),""),"!!!")</f>
        <v>!!!</v>
      </c>
      <c r="X59" s="105" t="str">
        <f t="shared" si="74"/>
        <v/>
      </c>
      <c r="Y59" s="105" t="str">
        <f>IF(LEFT($F59,1)="*",IF(VLOOKUP($H59,ELENCHI!$BG$24:$BO$123,7,FALSE)=LEN(X59),0,1),"")</f>
        <v/>
      </c>
      <c r="Z59" s="105" t="str">
        <f>IF(Y59=0,IFERROR(LEFT(X59,VLOOKUP($H59,ELENCHI!$BG$24:$CB$123,7,FALSE)-VLOOKUP($H59,ELENCHI!$BG$24:$CB$123,12,FALSE))&amp;IF(VLOOKUP($H59,ELENCHI!$BG$24:$CB$123,12,FALSE)=0,"",",")&amp;RIGHT(X59,VLOOKUP($H59,ELENCHI!$BG$24:$CB$123,12,FALSE)),""),"!!!")</f>
        <v>!!!</v>
      </c>
      <c r="AA59" s="113" t="str">
        <f t="shared" si="75"/>
        <v/>
      </c>
      <c r="AB59" s="113" t="str">
        <f>IF(LEFT($F59,1)="*",IF(VLOOKUP($H59,ELENCHI!$BG$24:$BO$123,8,FALSE)=LEN(AA59),0,1),"")</f>
        <v/>
      </c>
      <c r="AC59" s="113" t="str">
        <f>IF(AB59=0,IFERROR(LEFT(AA59,VLOOKUP($H59,ELENCHI!$BG$24:$CB$123,8,FALSE)-VLOOKUP($H59,ELENCHI!$BG$24:$CB$123,13,FALSE))&amp;IF(VLOOKUP($H59,ELENCHI!$BG$24:$CB$123,13,FALSE)=0,"",",")&amp;RIGHT(AA59,VLOOKUP($H59,ELENCHI!$BG$24:$CB$123,13,FALSE)),""),"!!!")</f>
        <v>!!!</v>
      </c>
      <c r="AD59" s="105" t="str">
        <f t="shared" si="76"/>
        <v/>
      </c>
      <c r="AE59" s="105" t="str">
        <f>IF(LEFT($F59,1)="*",IF(VLOOKUP($H59,ELENCHI!$BG$24:$BO$123,9,FALSE)=LEN(AD59),0,1),"")</f>
        <v/>
      </c>
      <c r="AF59" s="105" t="str">
        <f>IF(AE59=0,IFERROR(LEFT(AD59,VLOOKUP($H59,ELENCHI!$BG$24:$CB$123,9,FALSE)-VLOOKUP($H59,ELENCHI!$BG$24:$CB$123,14,FALSE))&amp;IF(VLOOKUP($H59,ELENCHI!$BG$24:$CB$123,14,FALSE)=0,"",",")&amp;RIGHT(AD59,VLOOKUP($H59,ELENCHI!$BG$24:$CB$123,14,FALSE)),""),"!!!")</f>
        <v>!!!</v>
      </c>
      <c r="AG59" s="117">
        <f t="shared" si="77"/>
        <v>0</v>
      </c>
      <c r="AH59" s="2" t="str">
        <f>AM58&amp;IF(H59&lt;&gt;0,VLOOKUP($H59,ELENCHI!$BG$24:$CB$123,16,FALSE)&amp;T59&amp;VLOOKUP($H59,ELENCHI!$BG$24:$CB$123,17,FALSE)&amp;W59&amp;VLOOKUP($H59,ELENCHI!$BG$24:$CB$123,18,FALSE)&amp;Z59&amp;VLOOKUP($H59,ELENCHI!$BG$24:$CB$123,19,FALSE)&amp;AC59&amp;VLOOKUP($H59,ELENCHI!$BG$24:$CB$123,20,FALSE)&amp;AF59&amp;CHAR(10),I59&amp;IF(IFERROR(FIND(CHAR(10),LEFT(B59,LUNGH),1),0)&gt;0,CHAR(10),""))</f>
        <v/>
      </c>
      <c r="AI59" s="3" t="str">
        <f t="shared" si="78"/>
        <v xml:space="preserve"> </v>
      </c>
      <c r="AJ59" s="3">
        <f t="shared" si="79"/>
        <v>999</v>
      </c>
      <c r="AK59" s="3">
        <f t="shared" si="80"/>
        <v>999</v>
      </c>
      <c r="AL59" s="114" t="str">
        <f t="shared" si="69"/>
        <v xml:space="preserve">                                                     </v>
      </c>
      <c r="AM59" s="20" t="str">
        <f t="shared" si="70"/>
        <v/>
      </c>
      <c r="AN59" s="2">
        <f t="shared" si="81"/>
        <v>3</v>
      </c>
      <c r="AO59" s="462" t="str">
        <f t="shared" si="82"/>
        <v xml:space="preserve">                                                     </v>
      </c>
      <c r="AP59" s="462" t="str">
        <f t="shared" si="83"/>
        <v xml:space="preserve">3                                                            
</v>
      </c>
    </row>
    <row r="60" spans="1:45" x14ac:dyDescent="0.25">
      <c r="A60" s="2">
        <f>IF((ROW()-ROW($A$56))+SUM(STRINGA!$I$7:$M$7)&lt;=NUMRD*2+NUMRDJ,ROW()-ROW($A$56),"")</f>
        <v>4</v>
      </c>
      <c r="B60" s="14" t="str">
        <f t="shared" si="58"/>
        <v/>
      </c>
      <c r="C60" s="3" t="str">
        <f t="shared" si="59"/>
        <v xml:space="preserve"> </v>
      </c>
      <c r="D60" s="3">
        <f t="shared" si="71"/>
        <v>999</v>
      </c>
      <c r="E60" s="3">
        <f t="shared" si="60"/>
        <v>999</v>
      </c>
      <c r="F60" s="19" t="str">
        <f t="shared" si="61"/>
        <v xml:space="preserve">                                                     </v>
      </c>
      <c r="G60" s="20" t="str">
        <f t="shared" si="62"/>
        <v/>
      </c>
      <c r="H60" s="3">
        <f t="shared" si="63"/>
        <v>0</v>
      </c>
      <c r="I60" s="2" t="str">
        <f t="shared" si="64"/>
        <v/>
      </c>
      <c r="J60" s="436">
        <f t="shared" si="65"/>
        <v>53</v>
      </c>
      <c r="K60" s="433" t="str">
        <f t="shared" si="66"/>
        <v>0</v>
      </c>
      <c r="L60" s="2" t="str">
        <f t="shared" si="67"/>
        <v/>
      </c>
      <c r="M60" s="2" t="str">
        <f t="shared" si="67"/>
        <v/>
      </c>
      <c r="N60" s="2" t="str">
        <f t="shared" si="67"/>
        <v/>
      </c>
      <c r="O60" s="2" t="str">
        <f t="shared" si="67"/>
        <v/>
      </c>
      <c r="P60" s="2" t="str">
        <f t="shared" si="67"/>
        <v/>
      </c>
      <c r="Q60" s="2" t="str">
        <f t="shared" si="68"/>
        <v/>
      </c>
      <c r="R60" s="105" t="str">
        <f t="shared" si="72"/>
        <v/>
      </c>
      <c r="S60" s="105" t="str">
        <f>IF(LEFT($F60,1)="*",IF(VLOOKUP($H60,ELENCHI!$BG$24:$BO$123,5,FALSE)=LEN(R60),0,1),"")</f>
        <v/>
      </c>
      <c r="T60" s="105" t="str">
        <f>IF(S60=0,IFERROR(LEFT(R60,VLOOKUP($H60,ELENCHI!$BG$24:$CB$123,5,FALSE)-VLOOKUP($H60,ELENCHI!$BG$24:$CB$123,10,FALSE))&amp;IF(VLOOKUP($H60,ELENCHI!$BG$24:$CB$123,10,FALSE)=0,"",",")&amp;RIGHT(R60,VLOOKUP($H60,ELENCHI!$BG$24:$CB$123,10,FALSE)),""),"!!!")</f>
        <v>!!!</v>
      </c>
      <c r="U60" s="2" t="str">
        <f t="shared" si="73"/>
        <v/>
      </c>
      <c r="V60" s="2" t="str">
        <f>IF(LEFT($F60,1)="*",IF(VLOOKUP($H60,ELENCHI!$BG$24:$BO$123,6,FALSE)=LEN(U60),0,1),"")</f>
        <v/>
      </c>
      <c r="W60" s="2" t="str">
        <f>IF(V60=0,IFERROR(LEFT(U60,VLOOKUP($H60,ELENCHI!$BG$24:$CB$123,6,FALSE)-VLOOKUP($H60,ELENCHI!$BG$24:$CB$123,11,FALSE))&amp;IF(VLOOKUP($H60,ELENCHI!$BG$24:$CB$123,11,FALSE)=0,"",",")&amp;RIGHT(U60,VLOOKUP($H60,ELENCHI!$BG$24:$CB$123,11,FALSE)),""),"!!!")</f>
        <v>!!!</v>
      </c>
      <c r="X60" s="105" t="str">
        <f t="shared" si="74"/>
        <v/>
      </c>
      <c r="Y60" s="105" t="str">
        <f>IF(LEFT($F60,1)="*",IF(VLOOKUP($H60,ELENCHI!$BG$24:$BO$123,7,FALSE)=LEN(X60),0,1),"")</f>
        <v/>
      </c>
      <c r="Z60" s="105" t="str">
        <f>IF(Y60=0,IFERROR(LEFT(X60,VLOOKUP($H60,ELENCHI!$BG$24:$CB$123,7,FALSE)-VLOOKUP($H60,ELENCHI!$BG$24:$CB$123,12,FALSE))&amp;IF(VLOOKUP($H60,ELENCHI!$BG$24:$CB$123,12,FALSE)=0,"",",")&amp;RIGHT(X60,VLOOKUP($H60,ELENCHI!$BG$24:$CB$123,12,FALSE)),""),"!!!")</f>
        <v>!!!</v>
      </c>
      <c r="AA60" s="113" t="str">
        <f t="shared" si="75"/>
        <v/>
      </c>
      <c r="AB60" s="113" t="str">
        <f>IF(LEFT($F60,1)="*",IF(VLOOKUP($H60,ELENCHI!$BG$24:$BO$123,8,FALSE)=LEN(AA60),0,1),"")</f>
        <v/>
      </c>
      <c r="AC60" s="113" t="str">
        <f>IF(AB60=0,IFERROR(LEFT(AA60,VLOOKUP($H60,ELENCHI!$BG$24:$CB$123,8,FALSE)-VLOOKUP($H60,ELENCHI!$BG$24:$CB$123,13,FALSE))&amp;IF(VLOOKUP($H60,ELENCHI!$BG$24:$CB$123,13,FALSE)=0,"",",")&amp;RIGHT(AA60,VLOOKUP($H60,ELENCHI!$BG$24:$CB$123,13,FALSE)),""),"!!!")</f>
        <v>!!!</v>
      </c>
      <c r="AD60" s="105" t="str">
        <f t="shared" si="76"/>
        <v/>
      </c>
      <c r="AE60" s="105" t="str">
        <f>IF(LEFT($F60,1)="*",IF(VLOOKUP($H60,ELENCHI!$BG$24:$BO$123,9,FALSE)=LEN(AD60),0,1),"")</f>
        <v/>
      </c>
      <c r="AF60" s="105" t="str">
        <f>IF(AE60=0,IFERROR(LEFT(AD60,VLOOKUP($H60,ELENCHI!$BG$24:$CB$123,9,FALSE)-VLOOKUP($H60,ELENCHI!$BG$24:$CB$123,14,FALSE))&amp;IF(VLOOKUP($H60,ELENCHI!$BG$24:$CB$123,14,FALSE)=0,"",",")&amp;RIGHT(AD60,VLOOKUP($H60,ELENCHI!$BG$24:$CB$123,14,FALSE)),""),"!!!")</f>
        <v>!!!</v>
      </c>
      <c r="AG60" s="117">
        <f t="shared" si="77"/>
        <v>0</v>
      </c>
      <c r="AH60" s="2" t="str">
        <f>AM59&amp;IF(H60&lt;&gt;0,VLOOKUP($H60,ELENCHI!$BG$24:$CB$123,16,FALSE)&amp;T60&amp;VLOOKUP($H60,ELENCHI!$BG$24:$CB$123,17,FALSE)&amp;W60&amp;VLOOKUP($H60,ELENCHI!$BG$24:$CB$123,18,FALSE)&amp;Z60&amp;VLOOKUP($H60,ELENCHI!$BG$24:$CB$123,19,FALSE)&amp;AC60&amp;VLOOKUP($H60,ELENCHI!$BG$24:$CB$123,20,FALSE)&amp;AF60&amp;CHAR(10),I60&amp;IF(IFERROR(FIND(CHAR(10),LEFT(B60,LUNGH),1),0)&gt;0,CHAR(10),""))</f>
        <v/>
      </c>
      <c r="AI60" s="3" t="str">
        <f t="shared" si="78"/>
        <v xml:space="preserve"> </v>
      </c>
      <c r="AJ60" s="3">
        <f t="shared" si="79"/>
        <v>999</v>
      </c>
      <c r="AK60" s="3">
        <f t="shared" si="80"/>
        <v>999</v>
      </c>
      <c r="AL60" s="114" t="str">
        <f t="shared" si="69"/>
        <v xml:space="preserve">                                                     </v>
      </c>
      <c r="AM60" s="20" t="str">
        <f t="shared" si="70"/>
        <v/>
      </c>
      <c r="AN60" s="2">
        <f t="shared" si="81"/>
        <v>4</v>
      </c>
      <c r="AO60" s="462" t="str">
        <f t="shared" si="82"/>
        <v xml:space="preserve">                                                     </v>
      </c>
      <c r="AP60" s="462" t="str">
        <f t="shared" si="83"/>
        <v xml:space="preserve">4                                                            
</v>
      </c>
    </row>
    <row r="61" spans="1:45" x14ac:dyDescent="0.25">
      <c r="A61" s="2">
        <f>IF((ROW()-ROW($A$56))+SUM(STRINGA!$I$7:$M$7)&lt;=NUMRD*2+NUMRDJ,ROW()-ROW($A$56),"")</f>
        <v>5</v>
      </c>
      <c r="B61" s="14" t="str">
        <f t="shared" si="58"/>
        <v/>
      </c>
      <c r="C61" s="3" t="str">
        <f t="shared" si="59"/>
        <v xml:space="preserve"> </v>
      </c>
      <c r="D61" s="3">
        <f t="shared" si="71"/>
        <v>999</v>
      </c>
      <c r="E61" s="3">
        <f t="shared" si="60"/>
        <v>999</v>
      </c>
      <c r="F61" s="19" t="str">
        <f t="shared" si="61"/>
        <v xml:space="preserve">                                                     </v>
      </c>
      <c r="G61" s="20" t="str">
        <f t="shared" si="62"/>
        <v/>
      </c>
      <c r="H61" s="3">
        <f t="shared" si="63"/>
        <v>0</v>
      </c>
      <c r="I61" s="2" t="str">
        <f t="shared" si="64"/>
        <v/>
      </c>
      <c r="J61" s="436">
        <f t="shared" si="65"/>
        <v>53</v>
      </c>
      <c r="K61" s="433" t="str">
        <f t="shared" si="66"/>
        <v>0</v>
      </c>
      <c r="L61" s="2" t="str">
        <f t="shared" si="67"/>
        <v/>
      </c>
      <c r="M61" s="2" t="str">
        <f t="shared" si="67"/>
        <v/>
      </c>
      <c r="N61" s="2" t="str">
        <f t="shared" si="67"/>
        <v/>
      </c>
      <c r="O61" s="2" t="str">
        <f t="shared" si="67"/>
        <v/>
      </c>
      <c r="P61" s="2" t="str">
        <f t="shared" si="67"/>
        <v/>
      </c>
      <c r="Q61" s="2" t="str">
        <f t="shared" si="68"/>
        <v/>
      </c>
      <c r="R61" s="105" t="str">
        <f t="shared" si="72"/>
        <v/>
      </c>
      <c r="S61" s="105" t="str">
        <f>IF(LEFT($F61,1)="*",IF(VLOOKUP($H61,ELENCHI!$BG$24:$BO$123,5,FALSE)=LEN(R61),0,1),"")</f>
        <v/>
      </c>
      <c r="T61" s="105" t="str">
        <f>IF(S61=0,IFERROR(LEFT(R61,VLOOKUP($H61,ELENCHI!$BG$24:$CB$123,5,FALSE)-VLOOKUP($H61,ELENCHI!$BG$24:$CB$123,10,FALSE))&amp;IF(VLOOKUP($H61,ELENCHI!$BG$24:$CB$123,10,FALSE)=0,"",",")&amp;RIGHT(R61,VLOOKUP($H61,ELENCHI!$BG$24:$CB$123,10,FALSE)),""),"!!!")</f>
        <v>!!!</v>
      </c>
      <c r="U61" s="2" t="str">
        <f t="shared" si="73"/>
        <v/>
      </c>
      <c r="V61" s="2" t="str">
        <f>IF(LEFT($F61,1)="*",IF(VLOOKUP($H61,ELENCHI!$BG$24:$BO$123,6,FALSE)=LEN(U61),0,1),"")</f>
        <v/>
      </c>
      <c r="W61" s="2" t="str">
        <f>IF(V61=0,IFERROR(LEFT(U61,VLOOKUP($H61,ELENCHI!$BG$24:$CB$123,6,FALSE)-VLOOKUP($H61,ELENCHI!$BG$24:$CB$123,11,FALSE))&amp;IF(VLOOKUP($H61,ELENCHI!$BG$24:$CB$123,11,FALSE)=0,"",",")&amp;RIGHT(U61,VLOOKUP($H61,ELENCHI!$BG$24:$CB$123,11,FALSE)),""),"!!!")</f>
        <v>!!!</v>
      </c>
      <c r="X61" s="105" t="str">
        <f t="shared" si="74"/>
        <v/>
      </c>
      <c r="Y61" s="105" t="str">
        <f>IF(LEFT($F61,1)="*",IF(VLOOKUP($H61,ELENCHI!$BG$24:$BO$123,7,FALSE)=LEN(X61),0,1),"")</f>
        <v/>
      </c>
      <c r="Z61" s="105" t="str">
        <f>IF(Y61=0,IFERROR(LEFT(X61,VLOOKUP($H61,ELENCHI!$BG$24:$CB$123,7,FALSE)-VLOOKUP($H61,ELENCHI!$BG$24:$CB$123,12,FALSE))&amp;IF(VLOOKUP($H61,ELENCHI!$BG$24:$CB$123,12,FALSE)=0,"",",")&amp;RIGHT(X61,VLOOKUP($H61,ELENCHI!$BG$24:$CB$123,12,FALSE)),""),"!!!")</f>
        <v>!!!</v>
      </c>
      <c r="AA61" s="113" t="str">
        <f t="shared" si="75"/>
        <v/>
      </c>
      <c r="AB61" s="113" t="str">
        <f>IF(LEFT($F61,1)="*",IF(VLOOKUP($H61,ELENCHI!$BG$24:$BO$123,8,FALSE)=LEN(AA61),0,1),"")</f>
        <v/>
      </c>
      <c r="AC61" s="113" t="str">
        <f>IF(AB61=0,IFERROR(LEFT(AA61,VLOOKUP($H61,ELENCHI!$BG$24:$CB$123,8,FALSE)-VLOOKUP($H61,ELENCHI!$BG$24:$CB$123,13,FALSE))&amp;IF(VLOOKUP($H61,ELENCHI!$BG$24:$CB$123,13,FALSE)=0,"",",")&amp;RIGHT(AA61,VLOOKUP($H61,ELENCHI!$BG$24:$CB$123,13,FALSE)),""),"!!!")</f>
        <v>!!!</v>
      </c>
      <c r="AD61" s="105" t="str">
        <f t="shared" si="76"/>
        <v/>
      </c>
      <c r="AE61" s="105" t="str">
        <f>IF(LEFT($F61,1)="*",IF(VLOOKUP($H61,ELENCHI!$BG$24:$BO$123,9,FALSE)=LEN(AD61),0,1),"")</f>
        <v/>
      </c>
      <c r="AF61" s="105" t="str">
        <f>IF(AE61=0,IFERROR(LEFT(AD61,VLOOKUP($H61,ELENCHI!$BG$24:$CB$123,9,FALSE)-VLOOKUP($H61,ELENCHI!$BG$24:$CB$123,14,FALSE))&amp;IF(VLOOKUP($H61,ELENCHI!$BG$24:$CB$123,14,FALSE)=0,"",",")&amp;RIGHT(AD61,VLOOKUP($H61,ELENCHI!$BG$24:$CB$123,14,FALSE)),""),"!!!")</f>
        <v>!!!</v>
      </c>
      <c r="AG61" s="117">
        <f t="shared" si="77"/>
        <v>0</v>
      </c>
      <c r="AH61" s="2" t="str">
        <f>AM60&amp;IF(H61&lt;&gt;0,VLOOKUP($H61,ELENCHI!$BG$24:$CB$123,16,FALSE)&amp;T61&amp;VLOOKUP($H61,ELENCHI!$BG$24:$CB$123,17,FALSE)&amp;W61&amp;VLOOKUP($H61,ELENCHI!$BG$24:$CB$123,18,FALSE)&amp;Z61&amp;VLOOKUP($H61,ELENCHI!$BG$24:$CB$123,19,FALSE)&amp;AC61&amp;VLOOKUP($H61,ELENCHI!$BG$24:$CB$123,20,FALSE)&amp;AF61&amp;CHAR(10),I61&amp;IF(IFERROR(FIND(CHAR(10),LEFT(B61,LUNGH),1),0)&gt;0,CHAR(10),""))</f>
        <v/>
      </c>
      <c r="AI61" s="3" t="str">
        <f t="shared" si="78"/>
        <v xml:space="preserve"> </v>
      </c>
      <c r="AJ61" s="3">
        <f t="shared" si="79"/>
        <v>999</v>
      </c>
      <c r="AK61" s="3">
        <f t="shared" si="80"/>
        <v>999</v>
      </c>
      <c r="AL61" s="114" t="str">
        <f t="shared" si="69"/>
        <v xml:space="preserve">                                                     </v>
      </c>
      <c r="AM61" s="20" t="str">
        <f t="shared" si="70"/>
        <v/>
      </c>
      <c r="AN61" s="2">
        <f t="shared" si="81"/>
        <v>5</v>
      </c>
      <c r="AO61" s="462" t="str">
        <f t="shared" si="82"/>
        <v xml:space="preserve">                                                     </v>
      </c>
      <c r="AP61" s="462" t="str">
        <f t="shared" si="83"/>
        <v xml:space="preserve">5                                                            
</v>
      </c>
    </row>
    <row r="62" spans="1:45" x14ac:dyDescent="0.25">
      <c r="A62" s="2">
        <f>IF((ROW()-ROW($A$56))+SUM(STRINGA!$I$7:$M$7)&lt;=NUMRD*2+NUMRDJ,ROW()-ROW($A$56),"")</f>
        <v>6</v>
      </c>
      <c r="B62" s="14" t="str">
        <f t="shared" si="58"/>
        <v/>
      </c>
      <c r="C62" s="3" t="str">
        <f t="shared" si="59"/>
        <v xml:space="preserve"> </v>
      </c>
      <c r="D62" s="3">
        <f t="shared" si="71"/>
        <v>999</v>
      </c>
      <c r="E62" s="3">
        <f>IFERROR(FIND(CHAR(10),B62,2)-1-IF(LEFT(B62,1)=CHAR(10),1,0),999)</f>
        <v>999</v>
      </c>
      <c r="F62" s="19" t="str">
        <f t="shared" si="61"/>
        <v xml:space="preserve">                                                     </v>
      </c>
      <c r="G62" s="20" t="str">
        <f t="shared" si="62"/>
        <v/>
      </c>
      <c r="H62" s="3">
        <f t="shared" si="63"/>
        <v>0</v>
      </c>
      <c r="I62" s="2" t="str">
        <f t="shared" si="64"/>
        <v/>
      </c>
      <c r="J62" s="436">
        <f t="shared" si="65"/>
        <v>53</v>
      </c>
      <c r="K62" s="433" t="str">
        <f t="shared" si="66"/>
        <v>0</v>
      </c>
      <c r="L62" s="2" t="str">
        <f t="shared" si="67"/>
        <v/>
      </c>
      <c r="M62" s="2" t="str">
        <f t="shared" si="67"/>
        <v/>
      </c>
      <c r="N62" s="2" t="str">
        <f t="shared" si="67"/>
        <v/>
      </c>
      <c r="O62" s="2" t="str">
        <f t="shared" si="67"/>
        <v/>
      </c>
      <c r="P62" s="2" t="str">
        <f t="shared" si="67"/>
        <v/>
      </c>
      <c r="Q62" s="2" t="str">
        <f t="shared" si="68"/>
        <v/>
      </c>
      <c r="R62" s="105" t="str">
        <f t="shared" si="72"/>
        <v/>
      </c>
      <c r="S62" s="105" t="str">
        <f>IF(LEFT($F62,1)="*",IF(VLOOKUP($H62,ELENCHI!$BG$24:$BO$123,5,FALSE)=LEN(R62),0,1),"")</f>
        <v/>
      </c>
      <c r="T62" s="105" t="str">
        <f>IF(S62=0,IFERROR(LEFT(R62,VLOOKUP($H62,ELENCHI!$BG$24:$CB$123,5,FALSE)-VLOOKUP($H62,ELENCHI!$BG$24:$CB$123,10,FALSE))&amp;IF(VLOOKUP($H62,ELENCHI!$BG$24:$CB$123,10,FALSE)=0,"",",")&amp;RIGHT(R62,VLOOKUP($H62,ELENCHI!$BG$24:$CB$123,10,FALSE)),""),"!!!")</f>
        <v>!!!</v>
      </c>
      <c r="U62" s="2" t="str">
        <f t="shared" si="73"/>
        <v/>
      </c>
      <c r="V62" s="2" t="str">
        <f>IF(LEFT($F62,1)="*",IF(VLOOKUP($H62,ELENCHI!$BG$24:$BO$123,6,FALSE)=LEN(U62),0,1),"")</f>
        <v/>
      </c>
      <c r="W62" s="2" t="str">
        <f>IF(V62=0,IFERROR(LEFT(U62,VLOOKUP($H62,ELENCHI!$BG$24:$CB$123,6,FALSE)-VLOOKUP($H62,ELENCHI!$BG$24:$CB$123,11,FALSE))&amp;IF(VLOOKUP($H62,ELENCHI!$BG$24:$CB$123,11,FALSE)=0,"",",")&amp;RIGHT(U62,VLOOKUP($H62,ELENCHI!$BG$24:$CB$123,11,FALSE)),""),"!!!")</f>
        <v>!!!</v>
      </c>
      <c r="X62" s="105" t="str">
        <f t="shared" si="74"/>
        <v/>
      </c>
      <c r="Y62" s="105" t="str">
        <f>IF(LEFT($F62,1)="*",IF(VLOOKUP($H62,ELENCHI!$BG$24:$BO$123,7,FALSE)=LEN(X62),0,1),"")</f>
        <v/>
      </c>
      <c r="Z62" s="105" t="str">
        <f>IF(Y62=0,IFERROR(LEFT(X62,VLOOKUP($H62,ELENCHI!$BG$24:$CB$123,7,FALSE)-VLOOKUP($H62,ELENCHI!$BG$24:$CB$123,12,FALSE))&amp;IF(VLOOKUP($H62,ELENCHI!$BG$24:$CB$123,12,FALSE)=0,"",",")&amp;RIGHT(X62,VLOOKUP($H62,ELENCHI!$BG$24:$CB$123,12,FALSE)),""),"!!!")</f>
        <v>!!!</v>
      </c>
      <c r="AA62" s="113" t="str">
        <f t="shared" si="75"/>
        <v/>
      </c>
      <c r="AB62" s="113" t="str">
        <f>IF(LEFT($F62,1)="*",IF(VLOOKUP($H62,ELENCHI!$BG$24:$BO$123,8,FALSE)=LEN(AA62),0,1),"")</f>
        <v/>
      </c>
      <c r="AC62" s="113" t="str">
        <f>IF(AB62=0,IFERROR(LEFT(AA62,VLOOKUP($H62,ELENCHI!$BG$24:$CB$123,8,FALSE)-VLOOKUP($H62,ELENCHI!$BG$24:$CB$123,13,FALSE))&amp;IF(VLOOKUP($H62,ELENCHI!$BG$24:$CB$123,13,FALSE)=0,"",",")&amp;RIGHT(AA62,VLOOKUP($H62,ELENCHI!$BG$24:$CB$123,13,FALSE)),""),"!!!")</f>
        <v>!!!</v>
      </c>
      <c r="AD62" s="105" t="str">
        <f t="shared" si="76"/>
        <v/>
      </c>
      <c r="AE62" s="105" t="str">
        <f>IF(LEFT($F62,1)="*",IF(VLOOKUP($H62,ELENCHI!$BG$24:$BO$123,9,FALSE)=LEN(AD62),0,1),"")</f>
        <v/>
      </c>
      <c r="AF62" s="105" t="str">
        <f>IF(AE62=0,IFERROR(LEFT(AD62,VLOOKUP($H62,ELENCHI!$BG$24:$CB$123,9,FALSE)-VLOOKUP($H62,ELENCHI!$BG$24:$CB$123,14,FALSE))&amp;IF(VLOOKUP($H62,ELENCHI!$BG$24:$CB$123,14,FALSE)=0,"",",")&amp;RIGHT(AD62,VLOOKUP($H62,ELENCHI!$BG$24:$CB$123,14,FALSE)),""),"!!!")</f>
        <v>!!!</v>
      </c>
      <c r="AG62" s="117">
        <f t="shared" si="77"/>
        <v>0</v>
      </c>
      <c r="AH62" s="2" t="str">
        <f>AM61&amp;IF(H62&lt;&gt;0,VLOOKUP($H62,ELENCHI!$BG$24:$CB$123,16,FALSE)&amp;T62&amp;VLOOKUP($H62,ELENCHI!$BG$24:$CB$123,17,FALSE)&amp;W62&amp;VLOOKUP($H62,ELENCHI!$BG$24:$CB$123,18,FALSE)&amp;Z62&amp;VLOOKUP($H62,ELENCHI!$BG$24:$CB$123,19,FALSE)&amp;AC62&amp;VLOOKUP($H62,ELENCHI!$BG$24:$CB$123,20,FALSE)&amp;AF62&amp;CHAR(10),I62&amp;IF(IFERROR(FIND(CHAR(10),LEFT(B62,LUNGH),1),0)&gt;0,CHAR(10),""))</f>
        <v/>
      </c>
      <c r="AI62" s="3" t="str">
        <f t="shared" si="78"/>
        <v xml:space="preserve"> </v>
      </c>
      <c r="AJ62" s="3">
        <f t="shared" si="79"/>
        <v>999</v>
      </c>
      <c r="AK62" s="3">
        <f t="shared" si="80"/>
        <v>999</v>
      </c>
      <c r="AL62" s="114" t="str">
        <f t="shared" si="69"/>
        <v xml:space="preserve">                                                     </v>
      </c>
      <c r="AM62" s="20" t="str">
        <f t="shared" si="70"/>
        <v/>
      </c>
      <c r="AN62" s="2">
        <f t="shared" si="81"/>
        <v>6</v>
      </c>
      <c r="AO62" s="462" t="str">
        <f t="shared" si="82"/>
        <v xml:space="preserve">                                                     </v>
      </c>
      <c r="AP62" s="462" t="str">
        <f t="shared" si="83"/>
        <v xml:space="preserve">6                                                            
</v>
      </c>
    </row>
    <row r="63" spans="1:45" x14ac:dyDescent="0.25">
      <c r="A63" s="2">
        <f>IF((ROW()-ROW($A$56))+SUM(STRINGA!$I$7:$M$7)&lt;=NUMRD*2+NUMRDJ,ROW()-ROW($A$56),"")</f>
        <v>7</v>
      </c>
      <c r="B63" s="14" t="str">
        <f t="shared" si="58"/>
        <v/>
      </c>
      <c r="C63" s="3" t="str">
        <f t="shared" si="59"/>
        <v xml:space="preserve"> </v>
      </c>
      <c r="D63" s="3">
        <f t="shared" si="71"/>
        <v>999</v>
      </c>
      <c r="E63" s="3">
        <f t="shared" ref="E63:E65" si="84">IFERROR(FIND(CHAR(10),B63,2)-1-IF(LEFT(B63,1)=CHAR(10),1,0),999)</f>
        <v>999</v>
      </c>
      <c r="F63" s="19" t="str">
        <f t="shared" si="61"/>
        <v xml:space="preserve">                                                     </v>
      </c>
      <c r="G63" s="20" t="str">
        <f t="shared" si="62"/>
        <v/>
      </c>
      <c r="H63" s="3">
        <f t="shared" si="63"/>
        <v>0</v>
      </c>
      <c r="I63" s="2" t="str">
        <f t="shared" si="64"/>
        <v/>
      </c>
      <c r="J63" s="436">
        <f t="shared" si="65"/>
        <v>53</v>
      </c>
      <c r="K63" s="433" t="str">
        <f t="shared" si="66"/>
        <v>0</v>
      </c>
      <c r="L63" s="2" t="str">
        <f t="shared" si="67"/>
        <v/>
      </c>
      <c r="M63" s="2" t="str">
        <f t="shared" si="67"/>
        <v/>
      </c>
      <c r="N63" s="2" t="str">
        <f t="shared" si="67"/>
        <v/>
      </c>
      <c r="O63" s="2" t="str">
        <f t="shared" si="67"/>
        <v/>
      </c>
      <c r="P63" s="2" t="str">
        <f t="shared" si="67"/>
        <v/>
      </c>
      <c r="Q63" s="2" t="str">
        <f t="shared" si="68"/>
        <v/>
      </c>
      <c r="R63" s="105" t="str">
        <f t="shared" si="72"/>
        <v/>
      </c>
      <c r="S63" s="105" t="str">
        <f>IF(LEFT($F63,1)="*",IF(VLOOKUP($H63,ELENCHI!$BG$24:$BO$123,5,FALSE)=LEN(R63),0,1),"")</f>
        <v/>
      </c>
      <c r="T63" s="105" t="str">
        <f>IF(S63=0,IFERROR(LEFT(R63,VLOOKUP($H63,ELENCHI!$BG$24:$CB$123,5,FALSE)-VLOOKUP($H63,ELENCHI!$BG$24:$CB$123,10,FALSE))&amp;IF(VLOOKUP($H63,ELENCHI!$BG$24:$CB$123,10,FALSE)=0,"",",")&amp;RIGHT(R63,VLOOKUP($H63,ELENCHI!$BG$24:$CB$123,10,FALSE)),""),"!!!")</f>
        <v>!!!</v>
      </c>
      <c r="U63" s="2" t="str">
        <f t="shared" si="73"/>
        <v/>
      </c>
      <c r="V63" s="2" t="str">
        <f>IF(LEFT($F63,1)="*",IF(VLOOKUP($H63,ELENCHI!$BG$24:$BO$123,6,FALSE)=LEN(U63),0,1),"")</f>
        <v/>
      </c>
      <c r="W63" s="2" t="str">
        <f>IF(V63=0,IFERROR(LEFT(U63,VLOOKUP($H63,ELENCHI!$BG$24:$CB$123,6,FALSE)-VLOOKUP($H63,ELENCHI!$BG$24:$CB$123,11,FALSE))&amp;IF(VLOOKUP($H63,ELENCHI!$BG$24:$CB$123,11,FALSE)=0,"",",")&amp;RIGHT(U63,VLOOKUP($H63,ELENCHI!$BG$24:$CB$123,11,FALSE)),""),"!!!")</f>
        <v>!!!</v>
      </c>
      <c r="X63" s="105" t="str">
        <f t="shared" si="74"/>
        <v/>
      </c>
      <c r="Y63" s="105" t="str">
        <f>IF(LEFT($F63,1)="*",IF(VLOOKUP($H63,ELENCHI!$BG$24:$BO$123,7,FALSE)=LEN(X63),0,1),"")</f>
        <v/>
      </c>
      <c r="Z63" s="105" t="str">
        <f>IF(Y63=0,IFERROR(LEFT(X63,VLOOKUP($H63,ELENCHI!$BG$24:$CB$123,7,FALSE)-VLOOKUP($H63,ELENCHI!$BG$24:$CB$123,12,FALSE))&amp;IF(VLOOKUP($H63,ELENCHI!$BG$24:$CB$123,12,FALSE)=0,"",",")&amp;RIGHT(X63,VLOOKUP($H63,ELENCHI!$BG$24:$CB$123,12,FALSE)),""),"!!!")</f>
        <v>!!!</v>
      </c>
      <c r="AA63" s="113" t="str">
        <f t="shared" si="75"/>
        <v/>
      </c>
      <c r="AB63" s="113" t="str">
        <f>IF(LEFT($F63,1)="*",IF(VLOOKUP($H63,ELENCHI!$BG$24:$BO$123,8,FALSE)=LEN(AA63),0,1),"")</f>
        <v/>
      </c>
      <c r="AC63" s="113" t="str">
        <f>IF(AB63=0,IFERROR(LEFT(AA63,VLOOKUP($H63,ELENCHI!$BG$24:$CB$123,8,FALSE)-VLOOKUP($H63,ELENCHI!$BG$24:$CB$123,13,FALSE))&amp;IF(VLOOKUP($H63,ELENCHI!$BG$24:$CB$123,13,FALSE)=0,"",",")&amp;RIGHT(AA63,VLOOKUP($H63,ELENCHI!$BG$24:$CB$123,13,FALSE)),""),"!!!")</f>
        <v>!!!</v>
      </c>
      <c r="AD63" s="105" t="str">
        <f t="shared" si="76"/>
        <v/>
      </c>
      <c r="AE63" s="105" t="str">
        <f>IF(LEFT($F63,1)="*",IF(VLOOKUP($H63,ELENCHI!$BG$24:$BO$123,9,FALSE)=LEN(AD63),0,1),"")</f>
        <v/>
      </c>
      <c r="AF63" s="105" t="str">
        <f>IF(AE63=0,IFERROR(LEFT(AD63,VLOOKUP($H63,ELENCHI!$BG$24:$CB$123,9,FALSE)-VLOOKUP($H63,ELENCHI!$BG$24:$CB$123,14,FALSE))&amp;IF(VLOOKUP($H63,ELENCHI!$BG$24:$CB$123,14,FALSE)=0,"",",")&amp;RIGHT(AD63,VLOOKUP($H63,ELENCHI!$BG$24:$CB$123,14,FALSE)),""),"!!!")</f>
        <v>!!!</v>
      </c>
      <c r="AG63" s="117">
        <f t="shared" si="77"/>
        <v>0</v>
      </c>
      <c r="AH63" s="2" t="str">
        <f>AM62&amp;IF(H63&lt;&gt;0,VLOOKUP($H63,ELENCHI!$BG$24:$CB$123,16,FALSE)&amp;T63&amp;VLOOKUP($H63,ELENCHI!$BG$24:$CB$123,17,FALSE)&amp;W63&amp;VLOOKUP($H63,ELENCHI!$BG$24:$CB$123,18,FALSE)&amp;Z63&amp;VLOOKUP($H63,ELENCHI!$BG$24:$CB$123,19,FALSE)&amp;AC63&amp;VLOOKUP($H63,ELENCHI!$BG$24:$CB$123,20,FALSE)&amp;AF63&amp;CHAR(10),I63&amp;IF(IFERROR(FIND(CHAR(10),LEFT(B63,LUNGH),1),0)&gt;0,CHAR(10),""))</f>
        <v/>
      </c>
      <c r="AI63" s="3" t="str">
        <f t="shared" si="78"/>
        <v xml:space="preserve"> </v>
      </c>
      <c r="AJ63" s="3">
        <f t="shared" si="79"/>
        <v>999</v>
      </c>
      <c r="AK63" s="3">
        <f t="shared" si="80"/>
        <v>999</v>
      </c>
      <c r="AL63" s="114" t="str">
        <f t="shared" si="69"/>
        <v xml:space="preserve">                                                     </v>
      </c>
      <c r="AM63" s="20" t="str">
        <f t="shared" si="70"/>
        <v/>
      </c>
      <c r="AN63" s="2">
        <f t="shared" si="81"/>
        <v>7</v>
      </c>
      <c r="AO63" s="462" t="str">
        <f t="shared" si="82"/>
        <v xml:space="preserve">                                                     </v>
      </c>
      <c r="AP63" s="462" t="str">
        <f t="shared" si="83"/>
        <v xml:space="preserve">7                                                            
</v>
      </c>
    </row>
    <row r="64" spans="1:45" x14ac:dyDescent="0.25">
      <c r="A64" s="2">
        <f>IF((ROW()-ROW($A$56))+SUM(STRINGA!$I$7:$M$7)&lt;=NUMRD*2+NUMRDJ,ROW()-ROW($A$56),"")</f>
        <v>8</v>
      </c>
      <c r="B64" s="14" t="str">
        <f t="shared" si="58"/>
        <v/>
      </c>
      <c r="C64" s="3" t="str">
        <f t="shared" si="59"/>
        <v xml:space="preserve"> </v>
      </c>
      <c r="D64" s="3">
        <f t="shared" si="71"/>
        <v>999</v>
      </c>
      <c r="E64" s="3">
        <f t="shared" si="84"/>
        <v>999</v>
      </c>
      <c r="F64" s="19" t="str">
        <f t="shared" si="61"/>
        <v xml:space="preserve">                                                     </v>
      </c>
      <c r="G64" s="20" t="str">
        <f t="shared" si="62"/>
        <v/>
      </c>
      <c r="H64" s="3">
        <f t="shared" si="63"/>
        <v>0</v>
      </c>
      <c r="I64" s="2" t="str">
        <f t="shared" si="64"/>
        <v/>
      </c>
      <c r="J64" s="436">
        <f>IF(I65&lt;&gt;"","",LEN(F64)-LEN(I64))</f>
        <v>53</v>
      </c>
      <c r="K64" s="433" t="str">
        <f t="shared" si="66"/>
        <v>0</v>
      </c>
      <c r="L64" s="2" t="str">
        <f t="shared" si="67"/>
        <v/>
      </c>
      <c r="M64" s="2" t="str">
        <f t="shared" si="67"/>
        <v/>
      </c>
      <c r="N64" s="2" t="str">
        <f t="shared" si="67"/>
        <v/>
      </c>
      <c r="O64" s="2" t="str">
        <f t="shared" si="67"/>
        <v/>
      </c>
      <c r="P64" s="2" t="str">
        <f t="shared" si="67"/>
        <v/>
      </c>
      <c r="Q64" s="2" t="str">
        <f t="shared" si="68"/>
        <v/>
      </c>
      <c r="R64" s="105" t="str">
        <f t="shared" si="72"/>
        <v/>
      </c>
      <c r="S64" s="105" t="str">
        <f>IF(LEFT($F64,1)="*",IF(VLOOKUP($H64,ELENCHI!$BG$24:$BO$123,5,FALSE)=LEN(R64),0,1),"")</f>
        <v/>
      </c>
      <c r="T64" s="105" t="str">
        <f>IF(S64=0,IFERROR(LEFT(R64,VLOOKUP($H64,ELENCHI!$BG$24:$CB$123,5,FALSE)-VLOOKUP($H64,ELENCHI!$BG$24:$CB$123,10,FALSE))&amp;IF(VLOOKUP($H64,ELENCHI!$BG$24:$CB$123,10,FALSE)=0,"",",")&amp;RIGHT(R64,VLOOKUP($H64,ELENCHI!$BG$24:$CB$123,10,FALSE)),""),"!!!")</f>
        <v>!!!</v>
      </c>
      <c r="U64" s="2" t="str">
        <f t="shared" si="73"/>
        <v/>
      </c>
      <c r="V64" s="2" t="str">
        <f>IF(LEFT($F64,1)="*",IF(VLOOKUP($H64,ELENCHI!$BG$24:$BO$123,6,FALSE)=LEN(U64),0,1),"")</f>
        <v/>
      </c>
      <c r="W64" s="2" t="str">
        <f>IF(V64=0,IFERROR(LEFT(U64,VLOOKUP($H64,ELENCHI!$BG$24:$CB$123,6,FALSE)-VLOOKUP($H64,ELENCHI!$BG$24:$CB$123,11,FALSE))&amp;IF(VLOOKUP($H64,ELENCHI!$BG$24:$CB$123,11,FALSE)=0,"",",")&amp;RIGHT(U64,VLOOKUP($H64,ELENCHI!$BG$24:$CB$123,11,FALSE)),""),"!!!")</f>
        <v>!!!</v>
      </c>
      <c r="X64" s="105" t="str">
        <f t="shared" si="74"/>
        <v/>
      </c>
      <c r="Y64" s="105" t="str">
        <f>IF(LEFT($F64,1)="*",IF(VLOOKUP($H64,ELENCHI!$BG$24:$BO$123,7,FALSE)=LEN(X64),0,1),"")</f>
        <v/>
      </c>
      <c r="Z64" s="105" t="str">
        <f>IF(Y64=0,IFERROR(LEFT(X64,VLOOKUP($H64,ELENCHI!$BG$24:$CB$123,7,FALSE)-VLOOKUP($H64,ELENCHI!$BG$24:$CB$123,12,FALSE))&amp;IF(VLOOKUP($H64,ELENCHI!$BG$24:$CB$123,12,FALSE)=0,"",",")&amp;RIGHT(X64,VLOOKUP($H64,ELENCHI!$BG$24:$CB$123,12,FALSE)),""),"!!!")</f>
        <v>!!!</v>
      </c>
      <c r="AA64" s="113" t="str">
        <f t="shared" si="75"/>
        <v/>
      </c>
      <c r="AB64" s="113" t="str">
        <f>IF(LEFT($F64,1)="*",IF(VLOOKUP($H64,ELENCHI!$BG$24:$BO$123,8,FALSE)=LEN(AA64),0,1),"")</f>
        <v/>
      </c>
      <c r="AC64" s="113" t="str">
        <f>IF(AB64=0,IFERROR(LEFT(AA64,VLOOKUP($H64,ELENCHI!$BG$24:$CB$123,8,FALSE)-VLOOKUP($H64,ELENCHI!$BG$24:$CB$123,13,FALSE))&amp;IF(VLOOKUP($H64,ELENCHI!$BG$24:$CB$123,13,FALSE)=0,"",",")&amp;RIGHT(AA64,VLOOKUP($H64,ELENCHI!$BG$24:$CB$123,13,FALSE)),""),"!!!")</f>
        <v>!!!</v>
      </c>
      <c r="AD64" s="105" t="str">
        <f t="shared" si="76"/>
        <v/>
      </c>
      <c r="AE64" s="105" t="str">
        <f>IF(LEFT($F64,1)="*",IF(VLOOKUP($H64,ELENCHI!$BG$24:$BO$123,9,FALSE)=LEN(AD64),0,1),"")</f>
        <v/>
      </c>
      <c r="AF64" s="105" t="str">
        <f>IF(AE64=0,IFERROR(LEFT(AD64,VLOOKUP($H64,ELENCHI!$BG$24:$CB$123,9,FALSE)-VLOOKUP($H64,ELENCHI!$BG$24:$CB$123,14,FALSE))&amp;IF(VLOOKUP($H64,ELENCHI!$BG$24:$CB$123,14,FALSE)=0,"",",")&amp;RIGHT(AD64,VLOOKUP($H64,ELENCHI!$BG$24:$CB$123,14,FALSE)),""),"!!!")</f>
        <v>!!!</v>
      </c>
      <c r="AG64" s="117">
        <f t="shared" si="77"/>
        <v>0</v>
      </c>
      <c r="AH64" s="2" t="str">
        <f>AM63&amp;IF(H64&lt;&gt;0,VLOOKUP($H64,ELENCHI!$BG$24:$CB$123,16,FALSE)&amp;T64&amp;VLOOKUP($H64,ELENCHI!$BG$24:$CB$123,17,FALSE)&amp;W64&amp;VLOOKUP($H64,ELENCHI!$BG$24:$CB$123,18,FALSE)&amp;Z64&amp;VLOOKUP($H64,ELENCHI!$BG$24:$CB$123,19,FALSE)&amp;AC64&amp;VLOOKUP($H64,ELENCHI!$BG$24:$CB$123,20,FALSE)&amp;AF64&amp;CHAR(10),I64&amp;IF(IFERROR(FIND(CHAR(10),LEFT(B64,LUNGH),1),0)&gt;0,CHAR(10),""))</f>
        <v/>
      </c>
      <c r="AI64" s="3" t="str">
        <f t="shared" si="78"/>
        <v xml:space="preserve"> </v>
      </c>
      <c r="AJ64" s="3">
        <f t="shared" si="79"/>
        <v>999</v>
      </c>
      <c r="AK64" s="3">
        <f t="shared" si="80"/>
        <v>999</v>
      </c>
      <c r="AL64" s="114" t="str">
        <f t="shared" si="69"/>
        <v xml:space="preserve">                                                     </v>
      </c>
      <c r="AM64" s="20" t="str">
        <f t="shared" si="70"/>
        <v/>
      </c>
      <c r="AN64" s="2">
        <f t="shared" si="81"/>
        <v>8</v>
      </c>
      <c r="AO64" s="462" t="str">
        <f t="shared" si="82"/>
        <v xml:space="preserve">                                                     </v>
      </c>
      <c r="AP64" s="462" t="str">
        <f t="shared" si="83"/>
        <v xml:space="preserve">8                                                            
</v>
      </c>
    </row>
    <row r="65" spans="1:42" x14ac:dyDescent="0.25">
      <c r="A65" s="117">
        <f>IF((ROW()-ROW($A$56))+SUM(STRINGA!$I$7:$M$7)&lt;=NUMRD*2+NUMRDJ,ROW()-ROW($A$56),"")</f>
        <v>9</v>
      </c>
      <c r="B65" s="145" t="str">
        <f t="shared" si="58"/>
        <v/>
      </c>
      <c r="C65" s="146" t="str">
        <f t="shared" si="59"/>
        <v xml:space="preserve"> </v>
      </c>
      <c r="D65" s="146">
        <f t="shared" si="71"/>
        <v>999</v>
      </c>
      <c r="E65" s="146">
        <f t="shared" si="84"/>
        <v>999</v>
      </c>
      <c r="F65" s="144" t="str">
        <f t="shared" si="61"/>
        <v xml:space="preserve">                                                     </v>
      </c>
      <c r="G65" s="147" t="str">
        <f t="shared" si="62"/>
        <v/>
      </c>
      <c r="H65" s="146">
        <f t="shared" si="63"/>
        <v>0</v>
      </c>
      <c r="I65" s="143" t="str">
        <f>CLEAN(LEFT(LEFT(CLEAN(B65),MIN(D65,E65)),LUNGH))</f>
        <v/>
      </c>
      <c r="AF65" s="437" t="s">
        <v>803</v>
      </c>
      <c r="AG65" s="423">
        <f>SUM(AG57:AG64)</f>
        <v>0</v>
      </c>
      <c r="AH65" s="2" t="str">
        <f>AM64&amp;IF(H65&lt;&gt;0,VLOOKUP($H65,ELENCHI!$BG$24:$CB$123,16,FALSE)&amp;T65&amp;VLOOKUP($H65,ELENCHI!$BG$24:$CB$123,17,FALSE)&amp;W65&amp;VLOOKUP($H65,ELENCHI!$BG$24:$CB$123,18,FALSE)&amp;Z65&amp;VLOOKUP($H65,ELENCHI!$BG$24:$CB$123,19,FALSE)&amp;AC65&amp;VLOOKUP($H65,ELENCHI!$BG$24:$CB$123,20,FALSE)&amp;AF65&amp;CHAR(10),I65&amp;IF(IFERROR(FIND(CHAR(10),LEFT(B65,LUNGH),1),0)&gt;0,CHAR(10),""))</f>
        <v/>
      </c>
      <c r="AI65" s="3" t="str">
        <f t="shared" si="78"/>
        <v xml:space="preserve"> </v>
      </c>
      <c r="AJ65" s="3">
        <f t="shared" si="79"/>
        <v>999</v>
      </c>
      <c r="AK65" s="3">
        <f t="shared" si="80"/>
        <v>999</v>
      </c>
      <c r="AL65" s="114" t="str">
        <f t="shared" si="69"/>
        <v xml:space="preserve">                                                     </v>
      </c>
      <c r="AM65" s="20" t="str">
        <f t="shared" si="70"/>
        <v/>
      </c>
      <c r="AN65" s="463" t="s">
        <v>778</v>
      </c>
      <c r="AO65" s="463"/>
      <c r="AP65" s="463"/>
    </row>
    <row r="66" spans="1:42" x14ac:dyDescent="0.25">
      <c r="A66" s="5" t="s">
        <v>778</v>
      </c>
      <c r="B66" s="6"/>
      <c r="C66" s="8"/>
      <c r="D66" s="8"/>
      <c r="E66" s="8"/>
      <c r="F66" s="8"/>
      <c r="G66" s="8"/>
      <c r="H66" s="8"/>
      <c r="I66" s="8"/>
      <c r="J66" s="421"/>
      <c r="K66" s="8"/>
      <c r="L66" s="8"/>
      <c r="AF66" s="613" t="s">
        <v>804</v>
      </c>
      <c r="AG66" s="611" t="str">
        <f>IFERROR(IF(AG65&gt;0,": ERRORE, LUNGHEZZA DATI ASTERISCATA","                                    "),":   ERRORE, ASTERISCATA NON IN ELENCO O ERRATA")</f>
        <v xml:space="preserve">                                    </v>
      </c>
      <c r="AH66" s="2" t="str">
        <f>AM65&amp;IF(H66&lt;&gt;0,VLOOKUP($H66,ELENCHI!$BG$24:$CB$123,16,FALSE)&amp;T66&amp;VLOOKUP($H66,ELENCHI!$BG$24:$CB$123,17,FALSE)&amp;W66&amp;VLOOKUP($H66,ELENCHI!$BG$24:$CB$123,18,FALSE)&amp;Z66&amp;VLOOKUP($H66,ELENCHI!$BG$24:$CB$123,19,FALSE)&amp;AC66&amp;VLOOKUP($H66,ELENCHI!$BG$24:$CB$123,20,FALSE)&amp;AF66&amp;CHAR(10),I66&amp;IF(IFERROR(FIND(CHAR(10),LEFT(B66,LUNGH),1),0)&gt;0,CHAR(10),""))</f>
        <v/>
      </c>
      <c r="AI66" s="3" t="str">
        <f t="shared" si="78"/>
        <v xml:space="preserve"> </v>
      </c>
      <c r="AJ66" s="3">
        <f t="shared" si="79"/>
        <v>999</v>
      </c>
      <c r="AK66" s="3">
        <f t="shared" si="80"/>
        <v>999</v>
      </c>
      <c r="AL66" s="114" t="str">
        <f t="shared" si="69"/>
        <v xml:space="preserve">                                                     </v>
      </c>
      <c r="AM66" s="20" t="str">
        <f t="shared" si="70"/>
        <v/>
      </c>
      <c r="AN66" s="608" t="str">
        <f>CONCATENATE(AP57,AP58,AP59,AP60,AP61,AP62,AP63,AP64,)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AO66" s="608"/>
      <c r="AP66" s="608"/>
    </row>
    <row r="67" spans="1:42" ht="23.25" customHeight="1" x14ac:dyDescent="0.25">
      <c r="A67" s="622" t="str">
        <f>CONCATENATE(F57,F58,F59,F60,F61,F62,F63,F64)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67" s="623"/>
      <c r="C67" s="424"/>
      <c r="D67" s="424"/>
      <c r="E67" s="424"/>
      <c r="F67" s="424"/>
      <c r="G67" s="424"/>
      <c r="H67" s="424"/>
      <c r="I67" s="424"/>
      <c r="J67" s="424"/>
      <c r="K67" s="425"/>
      <c r="L67" s="8"/>
      <c r="M67" s="8"/>
      <c r="N67" s="8"/>
      <c r="O67" s="8"/>
      <c r="P67" s="8"/>
      <c r="Q67" s="8"/>
      <c r="AF67" s="613"/>
      <c r="AG67" s="611"/>
      <c r="AH67" s="2" t="str">
        <f>AM66&amp;IF(H67&lt;&gt;0,VLOOKUP($H67,ELENCHI!$BG$24:$CB$123,16,FALSE)&amp;T67&amp;VLOOKUP($H67,ELENCHI!$BG$24:$CB$123,17,FALSE)&amp;W67&amp;VLOOKUP($H67,ELENCHI!$BG$24:$CB$123,18,FALSE)&amp;Z67&amp;VLOOKUP($H67,ELENCHI!$BG$24:$CB$123,19,FALSE)&amp;AC67&amp;VLOOKUP($H67,ELENCHI!$BG$24:$CB$123,20,FALSE)&amp;AF67&amp;CHAR(10),I67&amp;IF(IFERROR(FIND(CHAR(10),LEFT(B67,LUNGH),1),0)&gt;0,CHAR(10),""))</f>
        <v/>
      </c>
      <c r="AI67" s="3" t="str">
        <f t="shared" si="78"/>
        <v xml:space="preserve"> </v>
      </c>
      <c r="AJ67" s="3">
        <f t="shared" si="79"/>
        <v>999</v>
      </c>
      <c r="AK67" s="3">
        <f t="shared" si="80"/>
        <v>999</v>
      </c>
      <c r="AL67" s="114" t="str">
        <f t="shared" si="69"/>
        <v xml:space="preserve">                                                     </v>
      </c>
      <c r="AM67" s="20" t="str">
        <f t="shared" si="70"/>
        <v/>
      </c>
      <c r="AN67" s="608"/>
      <c r="AO67" s="608"/>
      <c r="AP67" s="608"/>
    </row>
    <row r="68" spans="1:42" s="8" customFormat="1" ht="42" customHeight="1" x14ac:dyDescent="0.25">
      <c r="A68" s="624"/>
      <c r="B68" s="625"/>
      <c r="C68"/>
      <c r="D68"/>
      <c r="E68"/>
      <c r="F68"/>
      <c r="G68"/>
      <c r="H68"/>
      <c r="I68"/>
      <c r="J68" s="4"/>
      <c r="K68" s="4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 s="609" t="s">
        <v>805</v>
      </c>
      <c r="AG68" s="610"/>
      <c r="AH68" s="428" t="str">
        <f>CONCATENATE(AL57,AL58,AL59,AL60,AL61,AL62,AL63,AL64,AL65,AL66,AL67)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I68" s="429"/>
      <c r="AJ68" s="429"/>
      <c r="AK68" s="429"/>
      <c r="AL68" s="429"/>
      <c r="AM68" s="429"/>
      <c r="AN68" s="608"/>
      <c r="AO68" s="608"/>
      <c r="AP68" s="608"/>
    </row>
    <row r="69" spans="1:42" s="8" customFormat="1" ht="18.75" customHeight="1" x14ac:dyDescent="0.25">
      <c r="A69"/>
      <c r="B69"/>
      <c r="C69"/>
      <c r="D69"/>
      <c r="E69"/>
      <c r="F69"/>
      <c r="G69"/>
      <c r="H69"/>
      <c r="I69"/>
      <c r="J69" s="4"/>
      <c r="K69" s="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F69" s="106"/>
      <c r="AG69" s="106"/>
      <c r="AH69" s="439"/>
      <c r="AI69" s="429"/>
      <c r="AJ69" s="429"/>
      <c r="AK69" s="429"/>
      <c r="AL69" s="429"/>
      <c r="AM69" s="429"/>
    </row>
    <row r="70" spans="1:42" s="8" customFormat="1" ht="18.75" customHeight="1" x14ac:dyDescent="0.25">
      <c r="A70"/>
      <c r="B70"/>
      <c r="C70"/>
      <c r="D70"/>
      <c r="E70"/>
      <c r="F70"/>
      <c r="G70"/>
      <c r="H70"/>
      <c r="I70"/>
      <c r="J70" s="4"/>
      <c r="K70" s="4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F70" s="106"/>
      <c r="AG70" s="106"/>
      <c r="AH70" s="439"/>
      <c r="AI70" s="429"/>
      <c r="AJ70" s="429"/>
      <c r="AK70" s="429"/>
      <c r="AL70" s="429"/>
      <c r="AM70" s="429"/>
    </row>
    <row r="71" spans="1:42" s="8" customFormat="1" ht="18.75" customHeight="1" x14ac:dyDescent="0.25">
      <c r="A71"/>
      <c r="B71"/>
      <c r="C71"/>
      <c r="D71"/>
      <c r="E71"/>
      <c r="F71"/>
      <c r="G71"/>
      <c r="H71"/>
      <c r="I71"/>
      <c r="J71" s="4"/>
      <c r="K71" s="4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F71" s="106"/>
      <c r="AG71" s="106"/>
      <c r="AH71" s="439"/>
      <c r="AI71" s="429"/>
      <c r="AJ71" s="429"/>
      <c r="AK71" s="429"/>
      <c r="AL71" s="429"/>
      <c r="AM71" s="429"/>
    </row>
    <row r="72" spans="1:42" s="8" customFormat="1" ht="18.75" customHeight="1" x14ac:dyDescent="0.25">
      <c r="A72"/>
      <c r="B72"/>
      <c r="C72"/>
      <c r="D72"/>
      <c r="E72"/>
      <c r="F72"/>
      <c r="G72"/>
      <c r="H72"/>
      <c r="I72"/>
      <c r="J72" s="4"/>
      <c r="K72" s="4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F72" s="106"/>
      <c r="AG72" s="106"/>
      <c r="AH72" s="439"/>
      <c r="AI72" s="429"/>
      <c r="AJ72" s="429"/>
      <c r="AK72" s="429"/>
      <c r="AL72" s="429"/>
      <c r="AM72" s="429"/>
    </row>
    <row r="73" spans="1:42" s="8" customFormat="1" ht="18.75" customHeight="1" x14ac:dyDescent="0.25">
      <c r="A73"/>
      <c r="B73"/>
      <c r="C73"/>
      <c r="D73"/>
      <c r="E73"/>
      <c r="F73"/>
      <c r="G73"/>
      <c r="H73"/>
      <c r="I73"/>
      <c r="J73" s="4"/>
      <c r="K73" s="4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F73" s="106"/>
      <c r="AG73" s="106"/>
      <c r="AH73" s="439"/>
      <c r="AI73" s="429"/>
      <c r="AJ73" s="429"/>
      <c r="AK73" s="429"/>
      <c r="AL73" s="429"/>
      <c r="AM73" s="429"/>
    </row>
    <row r="74" spans="1:42" ht="33.75" x14ac:dyDescent="0.5">
      <c r="A74" s="477" t="s">
        <v>808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  <c r="AO74" s="477"/>
      <c r="AP74" s="477"/>
    </row>
    <row r="75" spans="1:42" x14ac:dyDescent="0.25">
      <c r="A75" s="5" t="s">
        <v>108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150.75" customHeight="1" x14ac:dyDescent="0.25">
      <c r="A76" s="626" t="str">
        <f>UPPER(INSERIMENTO!CP13)</f>
        <v/>
      </c>
      <c r="B76" s="627"/>
      <c r="C76" s="15"/>
      <c r="D76" s="15"/>
      <c r="E76" s="15"/>
      <c r="F76" s="15"/>
      <c r="G76" s="15"/>
      <c r="I76" s="7"/>
    </row>
    <row r="77" spans="1:42" x14ac:dyDescent="0.25">
      <c r="A77" s="8"/>
      <c r="B77" s="8"/>
      <c r="F77" s="8"/>
      <c r="G77" s="8"/>
      <c r="H77" s="8"/>
      <c r="I77" s="8"/>
      <c r="J77" s="16" t="s">
        <v>770</v>
      </c>
      <c r="K77" s="106"/>
    </row>
    <row r="78" spans="1:42" x14ac:dyDescent="0.25">
      <c r="C78" s="612" t="s">
        <v>771</v>
      </c>
      <c r="D78" s="612"/>
      <c r="E78" s="612"/>
      <c r="J78" s="436">
        <f>SUM(J80:J88)-LEN(I89)</f>
        <v>424</v>
      </c>
      <c r="K78" s="615" t="s">
        <v>771</v>
      </c>
      <c r="L78" s="615"/>
      <c r="M78" s="615"/>
      <c r="N78" s="615"/>
      <c r="O78" s="615"/>
      <c r="P78" s="615"/>
      <c r="Q78" s="616"/>
      <c r="R78" s="617" t="s">
        <v>772</v>
      </c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C78" s="615"/>
      <c r="AD78" s="615"/>
      <c r="AE78" s="615"/>
      <c r="AF78" s="615"/>
      <c r="AI78" s="612" t="s">
        <v>773</v>
      </c>
      <c r="AJ78" s="612"/>
      <c r="AK78" s="612"/>
      <c r="AN78" s="460" t="s">
        <v>861</v>
      </c>
      <c r="AO78" s="460"/>
      <c r="AP78" s="460"/>
    </row>
    <row r="79" spans="1:42" x14ac:dyDescent="0.25">
      <c r="A79" s="10" t="s">
        <v>774</v>
      </c>
      <c r="B79" s="9"/>
      <c r="C79" s="447" t="s">
        <v>775</v>
      </c>
      <c r="D79" s="447" t="s">
        <v>776</v>
      </c>
      <c r="E79" s="447" t="s">
        <v>777</v>
      </c>
      <c r="F79" s="447" t="s">
        <v>778</v>
      </c>
      <c r="G79" s="447" t="s">
        <v>779</v>
      </c>
      <c r="H79" s="447" t="s">
        <v>233</v>
      </c>
      <c r="I79" s="447" t="s">
        <v>780</v>
      </c>
      <c r="J79" s="434" t="s">
        <v>781</v>
      </c>
      <c r="K79" s="431">
        <v>0</v>
      </c>
      <c r="L79" s="16" t="s">
        <v>782</v>
      </c>
      <c r="M79" s="16" t="s">
        <v>783</v>
      </c>
      <c r="N79" s="16" t="s">
        <v>784</v>
      </c>
      <c r="O79" s="16" t="s">
        <v>785</v>
      </c>
      <c r="P79" s="16" t="s">
        <v>786</v>
      </c>
      <c r="Q79" s="16" t="s">
        <v>787</v>
      </c>
      <c r="R79" s="16" t="s">
        <v>782</v>
      </c>
      <c r="S79" s="16" t="s">
        <v>788</v>
      </c>
      <c r="T79" s="16" t="s">
        <v>789</v>
      </c>
      <c r="U79" s="16" t="s">
        <v>783</v>
      </c>
      <c r="V79" s="16" t="s">
        <v>790</v>
      </c>
      <c r="W79" s="16" t="s">
        <v>791</v>
      </c>
      <c r="X79" s="16" t="s">
        <v>784</v>
      </c>
      <c r="Y79" s="16" t="s">
        <v>792</v>
      </c>
      <c r="Z79" s="16" t="s">
        <v>793</v>
      </c>
      <c r="AA79" s="16" t="s">
        <v>785</v>
      </c>
      <c r="AB79" s="16" t="s">
        <v>794</v>
      </c>
      <c r="AC79" s="16" t="s">
        <v>795</v>
      </c>
      <c r="AD79" s="16" t="s">
        <v>786</v>
      </c>
      <c r="AE79" s="16" t="s">
        <v>796</v>
      </c>
      <c r="AF79" s="16" t="s">
        <v>797</v>
      </c>
      <c r="AG79" s="16" t="s">
        <v>798</v>
      </c>
      <c r="AH79" s="16" t="s">
        <v>799</v>
      </c>
      <c r="AI79" s="447" t="s">
        <v>775</v>
      </c>
      <c r="AJ79" s="447" t="s">
        <v>776</v>
      </c>
      <c r="AK79" s="447" t="s">
        <v>777</v>
      </c>
      <c r="AL79" s="447" t="s">
        <v>800</v>
      </c>
      <c r="AM79" s="447" t="s">
        <v>801</v>
      </c>
      <c r="AN79" s="461" t="s">
        <v>862</v>
      </c>
      <c r="AO79" s="461" t="s">
        <v>863</v>
      </c>
      <c r="AP79" s="461" t="s">
        <v>864</v>
      </c>
    </row>
    <row r="80" spans="1:42" x14ac:dyDescent="0.25">
      <c r="A80" s="2">
        <f>IF((ROW()-ROW($A$80))+SUM(STRINGA!$I$7:$M$7)&lt;=NUMRD*2+NUMRDJ,ROW()-ROW($A$80),"")</f>
        <v>0</v>
      </c>
      <c r="B80" s="11" t="s">
        <v>802</v>
      </c>
      <c r="C80" s="13"/>
      <c r="D80" s="13"/>
      <c r="E80" s="13"/>
      <c r="F80" s="13"/>
      <c r="G80" s="13"/>
      <c r="H80" s="13"/>
      <c r="I80" s="13"/>
      <c r="J80" s="435"/>
      <c r="K80" s="43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341"/>
      <c r="AN80" s="13"/>
      <c r="AO80" s="13"/>
      <c r="AP80" s="13"/>
    </row>
    <row r="81" spans="1:44" x14ac:dyDescent="0.25">
      <c r="A81" s="2">
        <f>IF((ROW()-ROW($A$80))+SUM(STRINGA!$I$7:$M$7)&lt;=NUMRD*2+NUMRDJ,ROW()-ROW($A$80),"")</f>
        <v>1</v>
      </c>
      <c r="B81" s="14" t="str">
        <f t="shared" ref="B81:B89" si="85">IF(OR(LEFT(IFERROR(G80&amp;MID($A$76,(A80)*LUNGH+1,LUNGH),""),1)=CHAR(10),LEFT(IFERROR(G80&amp;MID($A$76,(A80)*LUNGH+1,LUNGH),""),1)=" "),MID(IFERROR(G80&amp;MID($A$76,(A80)*LUNGH+1,LUNGH),""),2,999),IFERROR(G80&amp;MID($A$76,(A80)*LUNGH+1,LUNGH),""))</f>
        <v/>
      </c>
      <c r="C81" s="3" t="str">
        <f t="shared" ref="C81:C89" si="86">IFERROR(FIND("*",B81)," ")</f>
        <v xml:space="preserve"> </v>
      </c>
      <c r="D81" s="3">
        <f>IFERROR(IF(C81=1,FIND("*",B81,C81+1),999),999)</f>
        <v>999</v>
      </c>
      <c r="E81" s="3">
        <f t="shared" ref="E81:E85" si="87">IFERROR(FIND(CHAR(10),B81,2)-1-IF(LEFT(B81,1)=CHAR(10),1,0),999)</f>
        <v>999</v>
      </c>
      <c r="F81" s="19" t="str">
        <f t="shared" ref="F81:F89" si="88">IF(A81&lt;&gt;"",LEFT(LEFT(CLEAN(B81),MIN(D81,E81))&amp;SPAZI,LUNGH),"")</f>
        <v xml:space="preserve">                                                     </v>
      </c>
      <c r="G81" s="20" t="str">
        <f t="shared" ref="G81:G89" si="89">MID(B81,MIN(D81+1,E81+2,LUNGH+1+IF(E81=LUNGH,1,0)+IF(LEFT(B81,1)=CHAR(10),1,0)),1000)</f>
        <v/>
      </c>
      <c r="H81" s="3">
        <f t="shared" ref="H81:H89" si="90">IF(IFERROR(LEFT(F81,MIN(IFERROR(FIND("=",F81,2)-1,1000),FIND("*",F81,2)-1)),0)="*SOSPE",LEFT(F81,8),IFERROR(IF(C81=1,LEFT(F81,MIN(IFERROR(FIND("=",F81,2)-1,1000),FIND("*",F81,2)-1)),0),0))</f>
        <v>0</v>
      </c>
      <c r="I81" s="2" t="str">
        <f t="shared" ref="I81:I88" si="91">CLEAN(LEFT(LEFT(CLEAN(B81),MIN(D81,E81)),LUNGH))</f>
        <v/>
      </c>
      <c r="J81" s="436">
        <f t="shared" ref="J81:J87" si="92">IF(I82&lt;&gt;"","",LEN(F81)-LEN(I81))</f>
        <v>53</v>
      </c>
      <c r="K81" s="433" t="str">
        <f t="shared" ref="K81:K88" si="93">"0"</f>
        <v>0</v>
      </c>
      <c r="L81" s="2" t="str">
        <f t="shared" ref="L81:P88" si="94">IF(LEFT($F81,1)="*",IFERROR(FIND("=",$F81,K81+1),$D81),"")</f>
        <v/>
      </c>
      <c r="M81" s="2" t="str">
        <f t="shared" si="94"/>
        <v/>
      </c>
      <c r="N81" s="2" t="str">
        <f t="shared" si="94"/>
        <v/>
      </c>
      <c r="O81" s="2" t="str">
        <f t="shared" si="94"/>
        <v/>
      </c>
      <c r="P81" s="2" t="str">
        <f t="shared" si="94"/>
        <v/>
      </c>
      <c r="Q81" s="2" t="str">
        <f t="shared" ref="Q81:Q88" si="95">IF(LEFT($F81,1)="*",IFERROR(FIND("=",$F81,O81+1),$D81),"")</f>
        <v/>
      </c>
      <c r="R81" s="105" t="str">
        <f>IF(LEFT($H81,6)="*SOSPE"," ",IF(LEFT($F81,1)="*",MID($F81,L81+1,MAX(M81-L81-1,0)),""))</f>
        <v/>
      </c>
      <c r="S81" s="105" t="str">
        <f>IF(LEFT($F81,1)="*",IF(VLOOKUP($H81,ELENCHI!$BG$24:$BO$123,5,FALSE)=LEN(R81),0,1),"")</f>
        <v/>
      </c>
      <c r="T81" s="105" t="str">
        <f>IF(S81=0,IFERROR(LEFT(R81,VLOOKUP($H81,ELENCHI!$BG$24:$CB$123,5,FALSE)-VLOOKUP($H81,ELENCHI!$BG$24:$CB$123,10,FALSE))&amp;IF(VLOOKUP($H81,ELENCHI!$BG$24:$CB$123,10,FALSE)=0,"",",")&amp;RIGHT(R81,VLOOKUP($H81,ELENCHI!$BG$24:$CB$123,10,FALSE)),""),"!!!")</f>
        <v>!!!</v>
      </c>
      <c r="U81" s="2" t="str">
        <f>IF(LEFT($F81,1)="*",MID($F81,M81+1,MAX(N81-M81-1,0)),"")</f>
        <v/>
      </c>
      <c r="V81" s="2" t="str">
        <f>IF(LEFT($F81,1)="*",IF(VLOOKUP($H81,ELENCHI!$BG$24:$BO$123,6,FALSE)=LEN(U81),0,1),"")</f>
        <v/>
      </c>
      <c r="W81" s="2" t="str">
        <f>IF(V81=0,IFERROR(LEFT(U81,VLOOKUP($H81,ELENCHI!$BG$24:$CB$123,6,FALSE)-VLOOKUP($H81,ELENCHI!$BG$24:$CB$123,11,FALSE))&amp;IF(VLOOKUP($H81,ELENCHI!$BG$24:$CB$123,11,FALSE)=0,"",",")&amp;RIGHT(U81,VLOOKUP($H81,ELENCHI!$BG$24:$CB$123,11,FALSE)),""),"!!!")</f>
        <v>!!!</v>
      </c>
      <c r="X81" s="105" t="str">
        <f>IF(LEFT($F81,1)="*",MID($F81,N81+1,MAX(O81-N81-1,0)),"")</f>
        <v/>
      </c>
      <c r="Y81" s="105" t="str">
        <f>IF(LEFT($F81,1)="*",IF(VLOOKUP($H81,ELENCHI!$BG$24:$BO$123,7,FALSE)=LEN(X81),0,1),"")</f>
        <v/>
      </c>
      <c r="Z81" s="105" t="str">
        <f>IF(Y81=0,IFERROR(LEFT(X81,VLOOKUP($H81,ELENCHI!$BG$24:$CB$123,7,FALSE)-VLOOKUP($H81,ELENCHI!$BG$24:$CB$123,12,FALSE))&amp;IF(VLOOKUP($H81,ELENCHI!$BG$24:$CB$123,12,FALSE)=0,"",",")&amp;RIGHT(X81,VLOOKUP($H81,ELENCHI!$BG$24:$CB$123,12,FALSE)),""),"!!!")</f>
        <v>!!!</v>
      </c>
      <c r="AA81" s="113" t="str">
        <f>IF(LEFT($F81,1)="*",MID($F81,O81+1,MAX(P81-O81-1,0)),"")</f>
        <v/>
      </c>
      <c r="AB81" s="113" t="str">
        <f>IF(LEFT($F81,1)="*",IF(VLOOKUP($H81,ELENCHI!$BG$24:$BO$123,8,FALSE)=LEN(AA81),0,1),"")</f>
        <v/>
      </c>
      <c r="AC81" s="113" t="str">
        <f>IF(AB81=0,IFERROR(LEFT(AA81,VLOOKUP($H81,ELENCHI!$BG$24:$CB$123,8,FALSE)-VLOOKUP($H81,ELENCHI!$BG$24:$CB$123,13,FALSE))&amp;IF(VLOOKUP($H81,ELENCHI!$BG$24:$CB$123,13,FALSE)=0,"",",")&amp;RIGHT(AA81,VLOOKUP($H81,ELENCHI!$BG$24:$CB$123,13,FALSE)),""),"!!!")</f>
        <v>!!!</v>
      </c>
      <c r="AD81" s="105" t="str">
        <f>IF(LEFT($F81,1)="*",MID($F81,P81+1,MAX(Q81-P81-1,0)),"")</f>
        <v/>
      </c>
      <c r="AE81" s="105" t="str">
        <f>IF(LEFT($F81,1)="*",IF(VLOOKUP($H81,ELENCHI!$BG$24:$BO$123,9,FALSE)=LEN(AD81),0,1),"")</f>
        <v/>
      </c>
      <c r="AF81" s="105" t="str">
        <f>IF(AE81=0,IFERROR(LEFT(AD81,VLOOKUP($H81,ELENCHI!$BG$24:$CB$123,9,FALSE)-VLOOKUP($H81,ELENCHI!$BG$24:$CB$123,14,FALSE))&amp;IF(VLOOKUP($H81,ELENCHI!$BG$24:$CB$123,14,FALSE)=0,"",",")&amp;RIGHT(AD81,VLOOKUP($H81,ELENCHI!$BG$24:$CB$123,14,FALSE)),""),"!!!")</f>
        <v>!!!</v>
      </c>
      <c r="AG81" s="117">
        <f>SUM(S81,V81,Y81,AB81,AE81)</f>
        <v>0</v>
      </c>
      <c r="AH81" s="2" t="str">
        <f>AM80&amp;IF(H81&lt;&gt;0,VLOOKUP($H81,ELENCHI!$BG$24:$CB$123,16,FALSE)&amp;T81&amp;VLOOKUP($H81,ELENCHI!$BG$24:$CB$123,17,FALSE)&amp;W81&amp;VLOOKUP($H81,ELENCHI!$BG$24:$CB$123,18,FALSE)&amp;X81&amp;VLOOKUP($H81,ELENCHI!$BG$24:$CB$123,19,FALSE)&amp;AA81&amp;VLOOKUP($H81,ELENCHI!$BG$24:$CB$123,20,FALSE)&amp;AD81&amp;CHAR(10),I81&amp;IF(IFERROR(FIND(CHAR(10),LEFT(B81,LUNGH),1),0)&gt;0,CHAR(10),""))</f>
        <v/>
      </c>
      <c r="AI81" s="3" t="str">
        <f>IFERROR(FIND("*",AH81)," ")</f>
        <v xml:space="preserve"> </v>
      </c>
      <c r="AJ81" s="3">
        <f>IFERROR(IF(AI81=1,FIND("*",AH81,AI81+1),999),999)</f>
        <v>999</v>
      </c>
      <c r="AK81" s="3">
        <f>IFERROR(FIND(CHAR(10),AH81,2)-1,999)</f>
        <v>999</v>
      </c>
      <c r="AL81" s="114" t="str">
        <f t="shared" ref="AL81:AL91" si="96">IFERROR(LEFT(LEFT(CLEAN(AH81),MIN(AJ81,AK81))&amp;SPAZI,LUNGH),"!!!")</f>
        <v xml:space="preserve">                                                     </v>
      </c>
      <c r="AM81" s="20" t="str">
        <f t="shared" ref="AM81:AM91" si="97">MID(AH81,MIN(AJ81+1,AK81+2,LUNGH+1),1000)</f>
        <v/>
      </c>
      <c r="AN81" s="2">
        <f>A81</f>
        <v>1</v>
      </c>
      <c r="AO81" s="462" t="str">
        <f>IF(AN81&lt;&gt;"",F81,"------  RIGA OCCUPATA DA PRESCRIZIONI TECNICHE ------")</f>
        <v xml:space="preserve">                                                     </v>
      </c>
      <c r="AP81" s="462" t="str">
        <f>AN81&amp;"       "&amp;AO81&amp;CHAR(10)</f>
        <v xml:space="preserve">1                                                            
</v>
      </c>
    </row>
    <row r="82" spans="1:44" x14ac:dyDescent="0.25">
      <c r="A82" s="2">
        <f>IF((ROW()-ROW($A$80))+SUM(STRINGA!$I$7:$M$7)&lt;=NUMRD*2+NUMRDJ,ROW()-ROW($A$80),"")</f>
        <v>2</v>
      </c>
      <c r="B82" s="14" t="str">
        <f t="shared" si="85"/>
        <v/>
      </c>
      <c r="C82" s="3" t="str">
        <f t="shared" si="86"/>
        <v xml:space="preserve"> </v>
      </c>
      <c r="D82" s="3">
        <f t="shared" ref="D82:D89" si="98">IFERROR(IF(C82=1,FIND("*",B82,C82+1),999),999)</f>
        <v>999</v>
      </c>
      <c r="E82" s="3">
        <f t="shared" si="87"/>
        <v>999</v>
      </c>
      <c r="F82" s="19" t="str">
        <f t="shared" si="88"/>
        <v xml:space="preserve">                                                     </v>
      </c>
      <c r="G82" s="20" t="str">
        <f t="shared" si="89"/>
        <v/>
      </c>
      <c r="H82" s="3">
        <f t="shared" si="90"/>
        <v>0</v>
      </c>
      <c r="I82" s="2" t="str">
        <f t="shared" si="91"/>
        <v/>
      </c>
      <c r="J82" s="436">
        <f t="shared" si="92"/>
        <v>53</v>
      </c>
      <c r="K82" s="433" t="str">
        <f t="shared" si="93"/>
        <v>0</v>
      </c>
      <c r="L82" s="2" t="str">
        <f t="shared" si="94"/>
        <v/>
      </c>
      <c r="M82" s="2" t="str">
        <f t="shared" si="94"/>
        <v/>
      </c>
      <c r="N82" s="2" t="str">
        <f t="shared" si="94"/>
        <v/>
      </c>
      <c r="O82" s="2" t="str">
        <f t="shared" si="94"/>
        <v/>
      </c>
      <c r="P82" s="2" t="str">
        <f t="shared" si="94"/>
        <v/>
      </c>
      <c r="Q82" s="2" t="str">
        <f t="shared" si="95"/>
        <v/>
      </c>
      <c r="R82" s="105" t="str">
        <f t="shared" ref="R82:R88" si="99">IF(LEFT($H82,6)="*SOSPE"," ",IF(LEFT($F82,1)="*",MID($F82,L82+1,MAX(M82-L82-1,0)),""))</f>
        <v/>
      </c>
      <c r="S82" s="105" t="str">
        <f>IF(LEFT($F82,1)="*",IF(VLOOKUP($H82,ELENCHI!$BG$24:$BO$123,5,FALSE)=LEN(R82),0,1),"")</f>
        <v/>
      </c>
      <c r="T82" s="105" t="str">
        <f>IF(S82=0,IFERROR(LEFT(R82,VLOOKUP($H82,ELENCHI!$BG$24:$CB$123,5,FALSE)-VLOOKUP($H82,ELENCHI!$BG$24:$CB$123,10,FALSE))&amp;IF(VLOOKUP($H82,ELENCHI!$BG$24:$CB$123,10,FALSE)=0,"",",")&amp;RIGHT(R82,VLOOKUP($H82,ELENCHI!$BG$24:$CB$123,10,FALSE)),""),"!!!")</f>
        <v>!!!</v>
      </c>
      <c r="U82" s="2" t="str">
        <f t="shared" ref="U82:U88" si="100">IF(LEFT($F82,1)="*",MID($F82,M82+1,MAX(N82-M82-1,0)),"")</f>
        <v/>
      </c>
      <c r="V82" s="2" t="str">
        <f>IF(LEFT($F82,1)="*",IF(VLOOKUP($H82,ELENCHI!$BG$24:$BO$123,6,FALSE)=LEN(U82),0,1),"")</f>
        <v/>
      </c>
      <c r="W82" s="2" t="str">
        <f>IF(V82=0,IFERROR(LEFT(U82,VLOOKUP($H82,ELENCHI!$BG$24:$CB$123,6,FALSE)-VLOOKUP($H82,ELENCHI!$BG$24:$CB$123,11,FALSE))&amp;IF(VLOOKUP($H82,ELENCHI!$BG$24:$CB$123,11,FALSE)=0,"",",")&amp;RIGHT(U82,VLOOKUP($H82,ELENCHI!$BG$24:$CB$123,11,FALSE)),""),"!!!")</f>
        <v>!!!</v>
      </c>
      <c r="X82" s="105" t="str">
        <f t="shared" ref="X82:X88" si="101">IF(LEFT($F82,1)="*",MID($F82,N82+1,MAX(O82-N82-1,0)),"")</f>
        <v/>
      </c>
      <c r="Y82" s="105" t="str">
        <f>IF(LEFT($F82,1)="*",IF(VLOOKUP($H82,ELENCHI!$BG$24:$BO$123,7,FALSE)=LEN(X82),0,1),"")</f>
        <v/>
      </c>
      <c r="Z82" s="105" t="str">
        <f>IF(Y82=0,IFERROR(LEFT(X82,VLOOKUP($H82,ELENCHI!$BG$24:$CB$123,7,FALSE)-VLOOKUP($H82,ELENCHI!$BG$24:$CB$123,12,FALSE))&amp;IF(VLOOKUP($H82,ELENCHI!$BG$24:$CB$123,12,FALSE)=0,"",",")&amp;RIGHT(X82,VLOOKUP($H82,ELENCHI!$BG$24:$CB$123,12,FALSE)),""),"!!!")</f>
        <v>!!!</v>
      </c>
      <c r="AA82" s="113" t="str">
        <f t="shared" ref="AA82:AA88" si="102">IF(LEFT($F82,1)="*",MID($F82,O82+1,MAX(P82-O82-1,0)),"")</f>
        <v/>
      </c>
      <c r="AB82" s="113" t="str">
        <f>IF(LEFT($F82,1)="*",IF(VLOOKUP($H82,ELENCHI!$BG$24:$BO$123,8,FALSE)=LEN(AA82),0,1),"")</f>
        <v/>
      </c>
      <c r="AC82" s="113" t="str">
        <f>IF(AB82=0,IFERROR(LEFT(AA82,VLOOKUP($H82,ELENCHI!$BG$24:$CB$123,8,FALSE)-VLOOKUP($H82,ELENCHI!$BG$24:$CB$123,13,FALSE))&amp;IF(VLOOKUP($H82,ELENCHI!$BG$24:$CB$123,13,FALSE)=0,"",",")&amp;RIGHT(AA82,VLOOKUP($H82,ELENCHI!$BG$24:$CB$123,13,FALSE)),""),"!!!")</f>
        <v>!!!</v>
      </c>
      <c r="AD82" s="105" t="str">
        <f t="shared" ref="AD82:AD88" si="103">IF(LEFT($F82,1)="*",MID($F82,P82+1,MAX(Q82-P82-1,0)),"")</f>
        <v/>
      </c>
      <c r="AE82" s="105" t="str">
        <f>IF(LEFT($F82,1)="*",IF(VLOOKUP($H82,ELENCHI!$BG$24:$BO$123,9,FALSE)=LEN(AD82),0,1),"")</f>
        <v/>
      </c>
      <c r="AF82" s="105" t="str">
        <f>IF(AE82=0,IFERROR(LEFT(AD82,VLOOKUP($H82,ELENCHI!$BG$24:$CB$123,9,FALSE)-VLOOKUP($H82,ELENCHI!$BG$24:$CB$123,14,FALSE))&amp;IF(VLOOKUP($H82,ELENCHI!$BG$24:$CB$123,14,FALSE)=0,"",",")&amp;RIGHT(AD82,VLOOKUP($H82,ELENCHI!$BG$24:$CB$123,14,FALSE)),""),"!!!")</f>
        <v>!!!</v>
      </c>
      <c r="AG82" s="117">
        <f t="shared" ref="AG82:AG88" si="104">SUM(S82,V82,Y82,AB82,AE82)</f>
        <v>0</v>
      </c>
      <c r="AH82" s="2" t="str">
        <f>AM81&amp;IF(H82&lt;&gt;0,VLOOKUP($H82,ELENCHI!$BG$24:$CB$123,16,FALSE)&amp;R82&amp;VLOOKUP($H82,ELENCHI!$BG$24:$CB$123,17,FALSE)&amp;U82&amp;VLOOKUP($H82,ELENCHI!$BG$24:$CB$123,18,FALSE)&amp;X82&amp;VLOOKUP($H82,ELENCHI!$BG$24:$CB$123,19,FALSE)&amp;AA82&amp;VLOOKUP($H82,ELENCHI!$BG$24:$CB$123,20,FALSE)&amp;AD82&amp;CHAR(10),I82&amp;IF(IFERROR(FIND(CHAR(10),LEFT(B82,LUNGH),1),0)&gt;0,CHAR(10),""))</f>
        <v/>
      </c>
      <c r="AI82" s="3" t="str">
        <f t="shared" ref="AI82:AI91" si="105">IFERROR(FIND("*",AH82)," ")</f>
        <v xml:space="preserve"> </v>
      </c>
      <c r="AJ82" s="3">
        <f t="shared" ref="AJ82:AJ91" si="106">IFERROR(IF(AI82=1,FIND("*",AH82,AI82+1),999),999)</f>
        <v>999</v>
      </c>
      <c r="AK82" s="3">
        <f t="shared" ref="AK82:AK91" si="107">IFERROR(FIND(CHAR(10),AH82,2)-1,999)</f>
        <v>999</v>
      </c>
      <c r="AL82" s="114" t="str">
        <f t="shared" si="96"/>
        <v xml:space="preserve">                                                     </v>
      </c>
      <c r="AM82" s="20" t="str">
        <f t="shared" si="97"/>
        <v/>
      </c>
      <c r="AN82" s="2">
        <f t="shared" ref="AN82:AN88" si="108">A82</f>
        <v>2</v>
      </c>
      <c r="AO82" s="462" t="str">
        <f t="shared" ref="AO82:AO88" si="109">IF(AN82&lt;&gt;"",F82,"------  RIGA OCCUPATA DA PRESCRIZIONI TECNICHE ------")</f>
        <v xml:space="preserve">                                                     </v>
      </c>
      <c r="AP82" s="462" t="str">
        <f t="shared" ref="AP82:AP88" si="110">AN82&amp;"       "&amp;AO82&amp;CHAR(10)</f>
        <v xml:space="preserve">2                                                            
</v>
      </c>
    </row>
    <row r="83" spans="1:44" x14ac:dyDescent="0.25">
      <c r="A83" s="2">
        <f>IF((ROW()-ROW($A$80))+SUM(STRINGA!$I$7:$M$7)&lt;=NUMRD*2+NUMRDJ,ROW()-ROW($A$80),"")</f>
        <v>3</v>
      </c>
      <c r="B83" s="14" t="str">
        <f t="shared" si="85"/>
        <v/>
      </c>
      <c r="C83" s="3" t="str">
        <f t="shared" si="86"/>
        <v xml:space="preserve"> </v>
      </c>
      <c r="D83" s="3">
        <f t="shared" si="98"/>
        <v>999</v>
      </c>
      <c r="E83" s="3">
        <f t="shared" si="87"/>
        <v>999</v>
      </c>
      <c r="F83" s="19" t="str">
        <f t="shared" si="88"/>
        <v xml:space="preserve">                                                     </v>
      </c>
      <c r="G83" s="20" t="str">
        <f t="shared" si="89"/>
        <v/>
      </c>
      <c r="H83" s="3">
        <f t="shared" si="90"/>
        <v>0</v>
      </c>
      <c r="I83" s="2" t="str">
        <f t="shared" si="91"/>
        <v/>
      </c>
      <c r="J83" s="436">
        <f t="shared" si="92"/>
        <v>53</v>
      </c>
      <c r="K83" s="433" t="str">
        <f t="shared" si="93"/>
        <v>0</v>
      </c>
      <c r="L83" s="2" t="str">
        <f t="shared" si="94"/>
        <v/>
      </c>
      <c r="M83" s="2" t="str">
        <f t="shared" si="94"/>
        <v/>
      </c>
      <c r="N83" s="2" t="str">
        <f t="shared" si="94"/>
        <v/>
      </c>
      <c r="O83" s="2" t="str">
        <f t="shared" si="94"/>
        <v/>
      </c>
      <c r="P83" s="2" t="str">
        <f t="shared" si="94"/>
        <v/>
      </c>
      <c r="Q83" s="2" t="str">
        <f t="shared" si="95"/>
        <v/>
      </c>
      <c r="R83" s="105" t="str">
        <f t="shared" si="99"/>
        <v/>
      </c>
      <c r="S83" s="105" t="str">
        <f>IF(LEFT($F83,1)="*",IF(VLOOKUP($H83,ELENCHI!$BG$24:$BO$123,5,FALSE)=LEN(R83),0,1),"")</f>
        <v/>
      </c>
      <c r="T83" s="105" t="str">
        <f>IF(S83=0,IFERROR(LEFT(R83,VLOOKUP($H83,ELENCHI!$BG$24:$CB$123,5,FALSE)-VLOOKUP($H83,ELENCHI!$BG$24:$CB$123,10,FALSE))&amp;IF(VLOOKUP($H83,ELENCHI!$BG$24:$CB$123,10,FALSE)=0,"",",")&amp;RIGHT(R83,VLOOKUP($H83,ELENCHI!$BG$24:$CB$123,10,FALSE)),""),"!!!")</f>
        <v>!!!</v>
      </c>
      <c r="U83" s="2" t="str">
        <f t="shared" si="100"/>
        <v/>
      </c>
      <c r="V83" s="2" t="str">
        <f>IF(LEFT($F83,1)="*",IF(VLOOKUP($H83,ELENCHI!$BG$24:$BO$123,6,FALSE)=LEN(U83),0,1),"")</f>
        <v/>
      </c>
      <c r="W83" s="2" t="str">
        <f>IF(V83=0,IFERROR(LEFT(U83,VLOOKUP($H83,ELENCHI!$BG$24:$CB$123,6,FALSE)-VLOOKUP($H83,ELENCHI!$BG$24:$CB$123,11,FALSE))&amp;IF(VLOOKUP($H83,ELENCHI!$BG$24:$CB$123,11,FALSE)=0,"",",")&amp;RIGHT(U83,VLOOKUP($H83,ELENCHI!$BG$24:$CB$123,11,FALSE)),""),"!!!")</f>
        <v>!!!</v>
      </c>
      <c r="X83" s="105" t="str">
        <f t="shared" si="101"/>
        <v/>
      </c>
      <c r="Y83" s="105" t="str">
        <f>IF(LEFT($F83,1)="*",IF(VLOOKUP($H83,ELENCHI!$BG$24:$BO$123,7,FALSE)=LEN(X83),0,1),"")</f>
        <v/>
      </c>
      <c r="Z83" s="105" t="str">
        <f>IF(Y83=0,IFERROR(LEFT(X83,VLOOKUP($H83,ELENCHI!$BG$24:$CB$123,7,FALSE)-VLOOKUP($H83,ELENCHI!$BG$24:$CB$123,12,FALSE))&amp;IF(VLOOKUP($H83,ELENCHI!$BG$24:$CB$123,12,FALSE)=0,"",",")&amp;RIGHT(X83,VLOOKUP($H83,ELENCHI!$BG$24:$CB$123,12,FALSE)),""),"!!!")</f>
        <v>!!!</v>
      </c>
      <c r="AA83" s="113" t="str">
        <f t="shared" si="102"/>
        <v/>
      </c>
      <c r="AB83" s="113" t="str">
        <f>IF(LEFT($F83,1)="*",IF(VLOOKUP($H83,ELENCHI!$BG$24:$BO$123,8,FALSE)=LEN(AA83),0,1),"")</f>
        <v/>
      </c>
      <c r="AC83" s="113" t="str">
        <f>IF(AB83=0,IFERROR(LEFT(AA83,VLOOKUP($H83,ELENCHI!$BG$24:$CB$123,8,FALSE)-VLOOKUP($H83,ELENCHI!$BG$24:$CB$123,13,FALSE))&amp;IF(VLOOKUP($H83,ELENCHI!$BG$24:$CB$123,13,FALSE)=0,"",",")&amp;RIGHT(AA83,VLOOKUP($H83,ELENCHI!$BG$24:$CB$123,13,FALSE)),""),"!!!")</f>
        <v>!!!</v>
      </c>
      <c r="AD83" s="105" t="str">
        <f t="shared" si="103"/>
        <v/>
      </c>
      <c r="AE83" s="105" t="str">
        <f>IF(LEFT($F83,1)="*",IF(VLOOKUP($H83,ELENCHI!$BG$24:$BO$123,9,FALSE)=LEN(AD83),0,1),"")</f>
        <v/>
      </c>
      <c r="AF83" s="105" t="str">
        <f>IF(AE83=0,IFERROR(LEFT(AD83,VLOOKUP($H83,ELENCHI!$BG$24:$CB$123,9,FALSE)-VLOOKUP($H83,ELENCHI!$BG$24:$CB$123,14,FALSE))&amp;IF(VLOOKUP($H83,ELENCHI!$BG$24:$CB$123,14,FALSE)=0,"",",")&amp;RIGHT(AD83,VLOOKUP($H83,ELENCHI!$BG$24:$CB$123,14,FALSE)),""),"!!!")</f>
        <v>!!!</v>
      </c>
      <c r="AG83" s="117">
        <f t="shared" si="104"/>
        <v>0</v>
      </c>
      <c r="AH83" s="2" t="str">
        <f>AM82&amp;IF(H83&lt;&gt;0,VLOOKUP($H83,ELENCHI!$BG$24:$CB$123,16,FALSE)&amp;R83&amp;VLOOKUP($H83,ELENCHI!$BG$24:$CB$123,17,FALSE)&amp;U83&amp;VLOOKUP($H83,ELENCHI!$BG$24:$CB$123,18,FALSE)&amp;X83&amp;VLOOKUP($H83,ELENCHI!$BG$24:$CB$123,19,FALSE)&amp;AA83&amp;VLOOKUP($H83,ELENCHI!$BG$24:$CB$123,20,FALSE)&amp;AD83&amp;CHAR(10),I83&amp;IF(IFERROR(FIND(CHAR(10),LEFT(B83,LUNGH),1),0)&gt;0,CHAR(10),""))</f>
        <v/>
      </c>
      <c r="AI83" s="3" t="str">
        <f t="shared" si="105"/>
        <v xml:space="preserve"> </v>
      </c>
      <c r="AJ83" s="3">
        <f t="shared" si="106"/>
        <v>999</v>
      </c>
      <c r="AK83" s="3">
        <f t="shared" si="107"/>
        <v>999</v>
      </c>
      <c r="AL83" s="114" t="str">
        <f t="shared" si="96"/>
        <v xml:space="preserve">                                                     </v>
      </c>
      <c r="AM83" s="20" t="str">
        <f t="shared" si="97"/>
        <v/>
      </c>
      <c r="AN83" s="2">
        <f t="shared" si="108"/>
        <v>3</v>
      </c>
      <c r="AO83" s="462" t="str">
        <f t="shared" si="109"/>
        <v xml:space="preserve">                                                     </v>
      </c>
      <c r="AP83" s="462" t="str">
        <f t="shared" si="110"/>
        <v xml:space="preserve">3                                                            
</v>
      </c>
    </row>
    <row r="84" spans="1:44" x14ac:dyDescent="0.25">
      <c r="A84" s="2">
        <f>IF((ROW()-ROW($A$80))+SUM(STRINGA!$I$7:$M$7)&lt;=NUMRD*2+NUMRDJ,ROW()-ROW($A$80),"")</f>
        <v>4</v>
      </c>
      <c r="B84" s="14" t="str">
        <f t="shared" si="85"/>
        <v/>
      </c>
      <c r="C84" s="3" t="str">
        <f t="shared" si="86"/>
        <v xml:space="preserve"> </v>
      </c>
      <c r="D84" s="3">
        <f t="shared" si="98"/>
        <v>999</v>
      </c>
      <c r="E84" s="3">
        <f t="shared" si="87"/>
        <v>999</v>
      </c>
      <c r="F84" s="19" t="str">
        <f t="shared" si="88"/>
        <v xml:space="preserve">                                                     </v>
      </c>
      <c r="G84" s="20" t="str">
        <f t="shared" si="89"/>
        <v/>
      </c>
      <c r="H84" s="3">
        <f t="shared" si="90"/>
        <v>0</v>
      </c>
      <c r="I84" s="2" t="str">
        <f t="shared" si="91"/>
        <v/>
      </c>
      <c r="J84" s="436">
        <f t="shared" si="92"/>
        <v>53</v>
      </c>
      <c r="K84" s="433" t="str">
        <f t="shared" si="93"/>
        <v>0</v>
      </c>
      <c r="L84" s="2" t="str">
        <f t="shared" si="94"/>
        <v/>
      </c>
      <c r="M84" s="2" t="str">
        <f t="shared" si="94"/>
        <v/>
      </c>
      <c r="N84" s="2" t="str">
        <f t="shared" si="94"/>
        <v/>
      </c>
      <c r="O84" s="2" t="str">
        <f t="shared" si="94"/>
        <v/>
      </c>
      <c r="P84" s="2" t="str">
        <f t="shared" si="94"/>
        <v/>
      </c>
      <c r="Q84" s="2" t="str">
        <f t="shared" si="95"/>
        <v/>
      </c>
      <c r="R84" s="105" t="str">
        <f t="shared" si="99"/>
        <v/>
      </c>
      <c r="S84" s="105" t="str">
        <f>IF(LEFT($F84,1)="*",IF(VLOOKUP($H84,ELENCHI!$BG$24:$BO$123,5,FALSE)=LEN(R84),0,1),"")</f>
        <v/>
      </c>
      <c r="T84" s="105" t="str">
        <f>IF(S84=0,IFERROR(LEFT(R84,VLOOKUP($H84,ELENCHI!$BG$24:$CB$123,5,FALSE)-VLOOKUP($H84,ELENCHI!$BG$24:$CB$123,10,FALSE))&amp;IF(VLOOKUP($H84,ELENCHI!$BG$24:$CB$123,10,FALSE)=0,"",",")&amp;RIGHT(R84,VLOOKUP($H84,ELENCHI!$BG$24:$CB$123,10,FALSE)),""),"!!!")</f>
        <v>!!!</v>
      </c>
      <c r="U84" s="2" t="str">
        <f t="shared" si="100"/>
        <v/>
      </c>
      <c r="V84" s="2" t="str">
        <f>IF(LEFT($F84,1)="*",IF(VLOOKUP($H84,ELENCHI!$BG$24:$BO$123,6,FALSE)=LEN(U84),0,1),"")</f>
        <v/>
      </c>
      <c r="W84" s="2" t="str">
        <f>IF(V84=0,IFERROR(LEFT(U84,VLOOKUP($H84,ELENCHI!$BG$24:$CB$123,6,FALSE)-VLOOKUP($H84,ELENCHI!$BG$24:$CB$123,11,FALSE))&amp;IF(VLOOKUP($H84,ELENCHI!$BG$24:$CB$123,11,FALSE)=0,"",",")&amp;RIGHT(U84,VLOOKUP($H84,ELENCHI!$BG$24:$CB$123,11,FALSE)),""),"!!!")</f>
        <v>!!!</v>
      </c>
      <c r="X84" s="105" t="str">
        <f t="shared" si="101"/>
        <v/>
      </c>
      <c r="Y84" s="105" t="str">
        <f>IF(LEFT($F84,1)="*",IF(VLOOKUP($H84,ELENCHI!$BG$24:$BO$123,7,FALSE)=LEN(X84),0,1),"")</f>
        <v/>
      </c>
      <c r="Z84" s="105" t="str">
        <f>IF(Y84=0,IFERROR(LEFT(X84,VLOOKUP($H84,ELENCHI!$BG$24:$CB$123,7,FALSE)-VLOOKUP($H84,ELENCHI!$BG$24:$CB$123,12,FALSE))&amp;IF(VLOOKUP($H84,ELENCHI!$BG$24:$CB$123,12,FALSE)=0,"",",")&amp;RIGHT(X84,VLOOKUP($H84,ELENCHI!$BG$24:$CB$123,12,FALSE)),""),"!!!")</f>
        <v>!!!</v>
      </c>
      <c r="AA84" s="113" t="str">
        <f t="shared" si="102"/>
        <v/>
      </c>
      <c r="AB84" s="113" t="str">
        <f>IF(LEFT($F84,1)="*",IF(VLOOKUP($H84,ELENCHI!$BG$24:$BO$123,8,FALSE)=LEN(AA84),0,1),"")</f>
        <v/>
      </c>
      <c r="AC84" s="113" t="str">
        <f>IF(AB84=0,IFERROR(LEFT(AA84,VLOOKUP($H84,ELENCHI!$BG$24:$CB$123,8,FALSE)-VLOOKUP($H84,ELENCHI!$BG$24:$CB$123,13,FALSE))&amp;IF(VLOOKUP($H84,ELENCHI!$BG$24:$CB$123,13,FALSE)=0,"",",")&amp;RIGHT(AA84,VLOOKUP($H84,ELENCHI!$BG$24:$CB$123,13,FALSE)),""),"!!!")</f>
        <v>!!!</v>
      </c>
      <c r="AD84" s="105" t="str">
        <f t="shared" si="103"/>
        <v/>
      </c>
      <c r="AE84" s="105" t="str">
        <f>IF(LEFT($F84,1)="*",IF(VLOOKUP($H84,ELENCHI!$BG$24:$BO$123,9,FALSE)=LEN(AD84),0,1),"")</f>
        <v/>
      </c>
      <c r="AF84" s="105" t="str">
        <f>IF(AE84=0,IFERROR(LEFT(AD84,VLOOKUP($H84,ELENCHI!$BG$24:$CB$123,9,FALSE)-VLOOKUP($H84,ELENCHI!$BG$24:$CB$123,14,FALSE))&amp;IF(VLOOKUP($H84,ELENCHI!$BG$24:$CB$123,14,FALSE)=0,"",",")&amp;RIGHT(AD84,VLOOKUP($H84,ELENCHI!$BG$24:$CB$123,14,FALSE)),""),"!!!")</f>
        <v>!!!</v>
      </c>
      <c r="AG84" s="117">
        <f t="shared" si="104"/>
        <v>0</v>
      </c>
      <c r="AH84" s="2" t="str">
        <f>AM83&amp;IF(H84&lt;&gt;0,VLOOKUP($H84,ELENCHI!$BG$24:$CB$123,16,FALSE)&amp;R84&amp;VLOOKUP($H84,ELENCHI!$BG$24:$CB$123,17,FALSE)&amp;U84&amp;VLOOKUP($H84,ELENCHI!$BG$24:$CB$123,18,FALSE)&amp;X84&amp;VLOOKUP($H84,ELENCHI!$BG$24:$CB$123,19,FALSE)&amp;AA84&amp;VLOOKUP($H84,ELENCHI!$BG$24:$CB$123,20,FALSE)&amp;AD84&amp;CHAR(10),I84&amp;IF(IFERROR(FIND(CHAR(10),LEFT(B84,LUNGH),1),0)&gt;0,CHAR(10),""))</f>
        <v/>
      </c>
      <c r="AI84" s="3" t="str">
        <f t="shared" si="105"/>
        <v xml:space="preserve"> </v>
      </c>
      <c r="AJ84" s="3">
        <f t="shared" si="106"/>
        <v>999</v>
      </c>
      <c r="AK84" s="3">
        <f t="shared" si="107"/>
        <v>999</v>
      </c>
      <c r="AL84" s="114" t="str">
        <f t="shared" si="96"/>
        <v xml:space="preserve">                                                     </v>
      </c>
      <c r="AM84" s="20" t="str">
        <f t="shared" si="97"/>
        <v/>
      </c>
      <c r="AN84" s="2">
        <f t="shared" si="108"/>
        <v>4</v>
      </c>
      <c r="AO84" s="462" t="str">
        <f t="shared" si="109"/>
        <v xml:space="preserve">                                                     </v>
      </c>
      <c r="AP84" s="462" t="str">
        <f t="shared" si="110"/>
        <v xml:space="preserve">4                                                            
</v>
      </c>
    </row>
    <row r="85" spans="1:44" x14ac:dyDescent="0.25">
      <c r="A85" s="2">
        <f>IF((ROW()-ROW($A$80))+SUM(STRINGA!$I$7:$M$7)&lt;=NUMRD*2+NUMRDJ,ROW()-ROW($A$80),"")</f>
        <v>5</v>
      </c>
      <c r="B85" s="14" t="str">
        <f t="shared" si="85"/>
        <v/>
      </c>
      <c r="C85" s="3" t="str">
        <f t="shared" si="86"/>
        <v xml:space="preserve"> </v>
      </c>
      <c r="D85" s="3">
        <f t="shared" si="98"/>
        <v>999</v>
      </c>
      <c r="E85" s="3">
        <f t="shared" si="87"/>
        <v>999</v>
      </c>
      <c r="F85" s="19" t="str">
        <f t="shared" si="88"/>
        <v xml:space="preserve">                                                     </v>
      </c>
      <c r="G85" s="20" t="str">
        <f t="shared" si="89"/>
        <v/>
      </c>
      <c r="H85" s="3">
        <f t="shared" si="90"/>
        <v>0</v>
      </c>
      <c r="I85" s="2" t="str">
        <f t="shared" si="91"/>
        <v/>
      </c>
      <c r="J85" s="436">
        <f t="shared" si="92"/>
        <v>53</v>
      </c>
      <c r="K85" s="440" t="str">
        <f t="shared" si="93"/>
        <v>0</v>
      </c>
      <c r="L85" s="2" t="str">
        <f t="shared" si="94"/>
        <v/>
      </c>
      <c r="M85" s="2" t="str">
        <f t="shared" si="94"/>
        <v/>
      </c>
      <c r="N85" s="2" t="str">
        <f t="shared" si="94"/>
        <v/>
      </c>
      <c r="O85" s="2" t="str">
        <f t="shared" si="94"/>
        <v/>
      </c>
      <c r="P85" s="2" t="str">
        <f t="shared" si="94"/>
        <v/>
      </c>
      <c r="Q85" s="2" t="str">
        <f t="shared" si="95"/>
        <v/>
      </c>
      <c r="R85" s="105" t="str">
        <f t="shared" si="99"/>
        <v/>
      </c>
      <c r="S85" s="105" t="str">
        <f>IF(LEFT($F85,1)="*",IF(VLOOKUP($H85,ELENCHI!$BG$24:$BO$123,5,FALSE)=LEN(R85),0,1),"")</f>
        <v/>
      </c>
      <c r="T85" s="105" t="str">
        <f>IF(S85=0,IFERROR(LEFT(R85,VLOOKUP($H85,ELENCHI!$BG$24:$CB$123,5,FALSE)-VLOOKUP($H85,ELENCHI!$BG$24:$CB$123,10,FALSE))&amp;IF(VLOOKUP($H85,ELENCHI!$BG$24:$CB$123,10,FALSE)=0,"",",")&amp;RIGHT(R85,VLOOKUP($H85,ELENCHI!$BG$24:$CB$123,10,FALSE)),""),"!!!")</f>
        <v>!!!</v>
      </c>
      <c r="U85" s="2" t="str">
        <f t="shared" si="100"/>
        <v/>
      </c>
      <c r="V85" s="2" t="str">
        <f>IF(LEFT($F85,1)="*",IF(VLOOKUP($H85,ELENCHI!$BG$24:$BO$123,6,FALSE)=LEN(U85),0,1),"")</f>
        <v/>
      </c>
      <c r="W85" s="2" t="str">
        <f>IF(V85=0,IFERROR(LEFT(U85,VLOOKUP($H85,ELENCHI!$BG$24:$CB$123,6,FALSE)-VLOOKUP($H85,ELENCHI!$BG$24:$CB$123,11,FALSE))&amp;IF(VLOOKUP($H85,ELENCHI!$BG$24:$CB$123,11,FALSE)=0,"",",")&amp;RIGHT(U85,VLOOKUP($H85,ELENCHI!$BG$24:$CB$123,11,FALSE)),""),"!!!")</f>
        <v>!!!</v>
      </c>
      <c r="X85" s="105" t="str">
        <f t="shared" si="101"/>
        <v/>
      </c>
      <c r="Y85" s="105" t="str">
        <f>IF(LEFT($F85,1)="*",IF(VLOOKUP($H85,ELENCHI!$BG$24:$BO$123,7,FALSE)=LEN(X85),0,1),"")</f>
        <v/>
      </c>
      <c r="Z85" s="105" t="str">
        <f>IF(Y85=0,IFERROR(LEFT(X85,VLOOKUP($H85,ELENCHI!$BG$24:$CB$123,7,FALSE)-VLOOKUP($H85,ELENCHI!$BG$24:$CB$123,12,FALSE))&amp;IF(VLOOKUP($H85,ELENCHI!$BG$24:$CB$123,12,FALSE)=0,"",",")&amp;RIGHT(X85,VLOOKUP($H85,ELENCHI!$BG$24:$CB$123,12,FALSE)),""),"!!!")</f>
        <v>!!!</v>
      </c>
      <c r="AA85" s="113" t="str">
        <f t="shared" si="102"/>
        <v/>
      </c>
      <c r="AB85" s="113" t="str">
        <f>IF(LEFT($F85,1)="*",IF(VLOOKUP($H85,ELENCHI!$BG$24:$BO$123,8,FALSE)=LEN(AA85),0,1),"")</f>
        <v/>
      </c>
      <c r="AC85" s="113" t="str">
        <f>IF(AB85=0,IFERROR(LEFT(AA85,VLOOKUP($H85,ELENCHI!$BG$24:$CB$123,8,FALSE)-VLOOKUP($H85,ELENCHI!$BG$24:$CB$123,13,FALSE))&amp;IF(VLOOKUP($H85,ELENCHI!$BG$24:$CB$123,13,FALSE)=0,"",",")&amp;RIGHT(AA85,VLOOKUP($H85,ELENCHI!$BG$24:$CB$123,13,FALSE)),""),"!!!")</f>
        <v>!!!</v>
      </c>
      <c r="AD85" s="105" t="str">
        <f t="shared" si="103"/>
        <v/>
      </c>
      <c r="AE85" s="105" t="str">
        <f>IF(LEFT($F85,1)="*",IF(VLOOKUP($H85,ELENCHI!$BG$24:$BO$123,9,FALSE)=LEN(AD85),0,1),"")</f>
        <v/>
      </c>
      <c r="AF85" s="105" t="str">
        <f>IF(AE85=0,IFERROR(LEFT(AD85,VLOOKUP($H85,ELENCHI!$BG$24:$CB$123,9,FALSE)-VLOOKUP($H85,ELENCHI!$BG$24:$CB$123,14,FALSE))&amp;IF(VLOOKUP($H85,ELENCHI!$BG$24:$CB$123,14,FALSE)=0,"",",")&amp;RIGHT(AD85,VLOOKUP($H85,ELENCHI!$BG$24:$CB$123,14,FALSE)),""),"!!!")</f>
        <v>!!!</v>
      </c>
      <c r="AG85" s="117">
        <f t="shared" si="104"/>
        <v>0</v>
      </c>
      <c r="AH85" s="2" t="str">
        <f>AM84&amp;IF(H85&lt;&gt;0,VLOOKUP($H85,ELENCHI!$BG$24:$CB$123,16,FALSE)&amp;R85&amp;VLOOKUP($H85,ELENCHI!$BG$24:$CB$123,17,FALSE)&amp;U85&amp;VLOOKUP($H85,ELENCHI!$BG$24:$CB$123,18,FALSE)&amp;X85&amp;VLOOKUP($H85,ELENCHI!$BG$24:$CB$123,19,FALSE)&amp;AA85&amp;VLOOKUP($H85,ELENCHI!$BG$24:$CB$123,20,FALSE)&amp;AD85&amp;CHAR(10),I85&amp;IF(IFERROR(FIND(CHAR(10),LEFT(B85,LUNGH),1),0)&gt;0,CHAR(10),""))</f>
        <v/>
      </c>
      <c r="AI85" s="3" t="str">
        <f t="shared" si="105"/>
        <v xml:space="preserve"> </v>
      </c>
      <c r="AJ85" s="3">
        <f t="shared" si="106"/>
        <v>999</v>
      </c>
      <c r="AK85" s="3">
        <f t="shared" si="107"/>
        <v>999</v>
      </c>
      <c r="AL85" s="114" t="str">
        <f t="shared" si="96"/>
        <v xml:space="preserve">                                                     </v>
      </c>
      <c r="AM85" s="20" t="str">
        <f t="shared" si="97"/>
        <v/>
      </c>
      <c r="AN85" s="2">
        <f t="shared" si="108"/>
        <v>5</v>
      </c>
      <c r="AO85" s="462" t="str">
        <f t="shared" si="109"/>
        <v xml:space="preserve">                                                     </v>
      </c>
      <c r="AP85" s="462" t="str">
        <f t="shared" si="110"/>
        <v xml:space="preserve">5                                                            
</v>
      </c>
    </row>
    <row r="86" spans="1:44" x14ac:dyDescent="0.25">
      <c r="A86" s="2">
        <f>IF((ROW()-ROW($A$80))+SUM(STRINGA!$I$7:$M$7)&lt;=NUMRD*2+NUMRDJ,ROW()-ROW($A$80),"")</f>
        <v>6</v>
      </c>
      <c r="B86" s="14" t="str">
        <f t="shared" si="85"/>
        <v/>
      </c>
      <c r="C86" s="3" t="str">
        <f t="shared" si="86"/>
        <v xml:space="preserve"> </v>
      </c>
      <c r="D86" s="3">
        <f t="shared" si="98"/>
        <v>999</v>
      </c>
      <c r="E86" s="3">
        <f>IFERROR(FIND(CHAR(10),B86,2)-1-IF(LEFT(B86,1)=CHAR(10),1,0),999)</f>
        <v>999</v>
      </c>
      <c r="F86" s="19" t="str">
        <f t="shared" si="88"/>
        <v xml:space="preserve">                                                     </v>
      </c>
      <c r="G86" s="20" t="str">
        <f t="shared" si="89"/>
        <v/>
      </c>
      <c r="H86" s="3">
        <f t="shared" si="90"/>
        <v>0</v>
      </c>
      <c r="I86" s="2" t="str">
        <f t="shared" si="91"/>
        <v/>
      </c>
      <c r="J86" s="436">
        <f t="shared" si="92"/>
        <v>53</v>
      </c>
      <c r="K86" s="433" t="str">
        <f t="shared" si="93"/>
        <v>0</v>
      </c>
      <c r="L86" s="2" t="str">
        <f t="shared" si="94"/>
        <v/>
      </c>
      <c r="M86" s="2" t="str">
        <f t="shared" si="94"/>
        <v/>
      </c>
      <c r="N86" s="2" t="str">
        <f t="shared" si="94"/>
        <v/>
      </c>
      <c r="O86" s="2" t="str">
        <f t="shared" si="94"/>
        <v/>
      </c>
      <c r="P86" s="2" t="str">
        <f t="shared" si="94"/>
        <v/>
      </c>
      <c r="Q86" s="2" t="str">
        <f t="shared" si="95"/>
        <v/>
      </c>
      <c r="R86" s="105" t="str">
        <f t="shared" si="99"/>
        <v/>
      </c>
      <c r="S86" s="105" t="str">
        <f>IF(LEFT($F86,1)="*",IF(VLOOKUP($H86,ELENCHI!$BG$24:$BO$123,5,FALSE)=LEN(R86),0,1),"")</f>
        <v/>
      </c>
      <c r="T86" s="105" t="str">
        <f>IF(S86=0,IFERROR(LEFT(R86,VLOOKUP($H86,ELENCHI!$BG$24:$CB$123,5,FALSE)-VLOOKUP($H86,ELENCHI!$BG$24:$CB$123,10,FALSE))&amp;IF(VLOOKUP($H86,ELENCHI!$BG$24:$CB$123,10,FALSE)=0,"",",")&amp;RIGHT(R86,VLOOKUP($H86,ELENCHI!$BG$24:$CB$123,10,FALSE)),""),"!!!")</f>
        <v>!!!</v>
      </c>
      <c r="U86" s="2" t="str">
        <f t="shared" si="100"/>
        <v/>
      </c>
      <c r="V86" s="2" t="str">
        <f>IF(LEFT($F86,1)="*",IF(VLOOKUP($H86,ELENCHI!$BG$24:$BO$123,6,FALSE)=LEN(U86),0,1),"")</f>
        <v/>
      </c>
      <c r="W86" s="2" t="str">
        <f>IF(V86=0,IFERROR(LEFT(U86,VLOOKUP($H86,ELENCHI!$BG$24:$CB$123,6,FALSE)-VLOOKUP($H86,ELENCHI!$BG$24:$CB$123,11,FALSE))&amp;IF(VLOOKUP($H86,ELENCHI!$BG$24:$CB$123,11,FALSE)=0,"",",")&amp;RIGHT(U86,VLOOKUP($H86,ELENCHI!$BG$24:$CB$123,11,FALSE)),""),"!!!")</f>
        <v>!!!</v>
      </c>
      <c r="X86" s="105" t="str">
        <f t="shared" si="101"/>
        <v/>
      </c>
      <c r="Y86" s="105" t="str">
        <f>IF(LEFT($F86,1)="*",IF(VLOOKUP($H86,ELENCHI!$BG$24:$BO$123,7,FALSE)=LEN(X86),0,1),"")</f>
        <v/>
      </c>
      <c r="Z86" s="105" t="str">
        <f>IF(Y86=0,IFERROR(LEFT(X86,VLOOKUP($H86,ELENCHI!$BG$24:$CB$123,7,FALSE)-VLOOKUP($H86,ELENCHI!$BG$24:$CB$123,12,FALSE))&amp;IF(VLOOKUP($H86,ELENCHI!$BG$24:$CB$123,12,FALSE)=0,"",",")&amp;RIGHT(X86,VLOOKUP($H86,ELENCHI!$BG$24:$CB$123,12,FALSE)),""),"!!!")</f>
        <v>!!!</v>
      </c>
      <c r="AA86" s="113" t="str">
        <f t="shared" si="102"/>
        <v/>
      </c>
      <c r="AB86" s="113" t="str">
        <f>IF(LEFT($F86,1)="*",IF(VLOOKUP($H86,ELENCHI!$BG$24:$BO$123,8,FALSE)=LEN(AA86),0,1),"")</f>
        <v/>
      </c>
      <c r="AC86" s="113" t="str">
        <f>IF(AB86=0,IFERROR(LEFT(AA86,VLOOKUP($H86,ELENCHI!$BG$24:$CB$123,8,FALSE)-VLOOKUP($H86,ELENCHI!$BG$24:$CB$123,13,FALSE))&amp;IF(VLOOKUP($H86,ELENCHI!$BG$24:$CB$123,13,FALSE)=0,"",",")&amp;RIGHT(AA86,VLOOKUP($H86,ELENCHI!$BG$24:$CB$123,13,FALSE)),""),"!!!")</f>
        <v>!!!</v>
      </c>
      <c r="AD86" s="105" t="str">
        <f t="shared" si="103"/>
        <v/>
      </c>
      <c r="AE86" s="105" t="str">
        <f>IF(LEFT($F86,1)="*",IF(VLOOKUP($H86,ELENCHI!$BG$24:$BO$123,9,FALSE)=LEN(AD86),0,1),"")</f>
        <v/>
      </c>
      <c r="AF86" s="105" t="str">
        <f>IF(AE86=0,IFERROR(LEFT(AD86,VLOOKUP($H86,ELENCHI!$BG$24:$CB$123,9,FALSE)-VLOOKUP($H86,ELENCHI!$BG$24:$CB$123,14,FALSE))&amp;IF(VLOOKUP($H86,ELENCHI!$BG$24:$CB$123,14,FALSE)=0,"",",")&amp;RIGHT(AD86,VLOOKUP($H86,ELENCHI!$BG$24:$CB$123,14,FALSE)),""),"!!!")</f>
        <v>!!!</v>
      </c>
      <c r="AG86" s="117">
        <f t="shared" si="104"/>
        <v>0</v>
      </c>
      <c r="AH86" s="2" t="str">
        <f>AM85&amp;IF(H86&lt;&gt;0,VLOOKUP($H86,ELENCHI!$BG$24:$CB$123,16,FALSE)&amp;R86&amp;VLOOKUP($H86,ELENCHI!$BG$24:$CB$123,17,FALSE)&amp;U86&amp;VLOOKUP($H86,ELENCHI!$BG$24:$CB$123,18,FALSE)&amp;X86&amp;VLOOKUP($H86,ELENCHI!$BG$24:$CB$123,19,FALSE)&amp;AA86&amp;VLOOKUP($H86,ELENCHI!$BG$24:$CB$123,20,FALSE)&amp;AD86&amp;CHAR(10),I86&amp;IF(IFERROR(FIND(CHAR(10),LEFT(B86,LUNGH),1),0)&gt;0,CHAR(10),""))</f>
        <v/>
      </c>
      <c r="AI86" s="3" t="str">
        <f t="shared" si="105"/>
        <v xml:space="preserve"> </v>
      </c>
      <c r="AJ86" s="3">
        <f t="shared" si="106"/>
        <v>999</v>
      </c>
      <c r="AK86" s="3">
        <f t="shared" si="107"/>
        <v>999</v>
      </c>
      <c r="AL86" s="114" t="str">
        <f t="shared" si="96"/>
        <v xml:space="preserve">                                                     </v>
      </c>
      <c r="AM86" s="20" t="str">
        <f t="shared" si="97"/>
        <v/>
      </c>
      <c r="AN86" s="2">
        <f t="shared" si="108"/>
        <v>6</v>
      </c>
      <c r="AO86" s="462" t="str">
        <f t="shared" si="109"/>
        <v xml:space="preserve">                                                     </v>
      </c>
      <c r="AP86" s="462" t="str">
        <f t="shared" si="110"/>
        <v xml:space="preserve">6                                                            
</v>
      </c>
    </row>
    <row r="87" spans="1:44" x14ac:dyDescent="0.25">
      <c r="A87" s="2">
        <f>IF((ROW()-ROW($A$80))+SUM(STRINGA!$I$7:$M$7)&lt;=NUMRD*2+NUMRDJ,ROW()-ROW($A$80),"")</f>
        <v>7</v>
      </c>
      <c r="B87" s="14" t="str">
        <f t="shared" si="85"/>
        <v/>
      </c>
      <c r="C87" s="3" t="str">
        <f t="shared" si="86"/>
        <v xml:space="preserve"> </v>
      </c>
      <c r="D87" s="3">
        <f t="shared" si="98"/>
        <v>999</v>
      </c>
      <c r="E87" s="3">
        <f t="shared" ref="E87:E89" si="111">IFERROR(FIND(CHAR(10),B87,2)-1-IF(LEFT(B87,1)=CHAR(10),1,0),999)</f>
        <v>999</v>
      </c>
      <c r="F87" s="19" t="str">
        <f t="shared" si="88"/>
        <v xml:space="preserve">                                                     </v>
      </c>
      <c r="G87" s="20" t="str">
        <f t="shared" si="89"/>
        <v/>
      </c>
      <c r="H87" s="3">
        <f t="shared" si="90"/>
        <v>0</v>
      </c>
      <c r="I87" s="2" t="str">
        <f t="shared" si="91"/>
        <v/>
      </c>
      <c r="J87" s="436">
        <f t="shared" si="92"/>
        <v>53</v>
      </c>
      <c r="K87" s="433" t="str">
        <f t="shared" si="93"/>
        <v>0</v>
      </c>
      <c r="L87" s="2" t="str">
        <f t="shared" si="94"/>
        <v/>
      </c>
      <c r="M87" s="2" t="str">
        <f t="shared" si="94"/>
        <v/>
      </c>
      <c r="N87" s="2" t="str">
        <f t="shared" si="94"/>
        <v/>
      </c>
      <c r="O87" s="2" t="str">
        <f t="shared" si="94"/>
        <v/>
      </c>
      <c r="P87" s="2" t="str">
        <f t="shared" si="94"/>
        <v/>
      </c>
      <c r="Q87" s="2" t="str">
        <f t="shared" si="95"/>
        <v/>
      </c>
      <c r="R87" s="105" t="str">
        <f t="shared" si="99"/>
        <v/>
      </c>
      <c r="S87" s="105" t="str">
        <f>IF(LEFT($F87,1)="*",IF(VLOOKUP($H87,ELENCHI!$BG$24:$BO$123,5,FALSE)=LEN(R87),0,1),"")</f>
        <v/>
      </c>
      <c r="T87" s="105" t="str">
        <f>IF(S87=0,IFERROR(LEFT(R87,VLOOKUP($H87,ELENCHI!$BG$24:$CB$123,5,FALSE)-VLOOKUP($H87,ELENCHI!$BG$24:$CB$123,10,FALSE))&amp;IF(VLOOKUP($H87,ELENCHI!$BG$24:$CB$123,10,FALSE)=0,"",",")&amp;RIGHT(R87,VLOOKUP($H87,ELENCHI!$BG$24:$CB$123,10,FALSE)),""),"!!!")</f>
        <v>!!!</v>
      </c>
      <c r="U87" s="2" t="str">
        <f t="shared" si="100"/>
        <v/>
      </c>
      <c r="V87" s="2" t="str">
        <f>IF(LEFT($F87,1)="*",IF(VLOOKUP($H87,ELENCHI!$BG$24:$BO$123,6,FALSE)=LEN(U87),0,1),"")</f>
        <v/>
      </c>
      <c r="W87" s="2" t="str">
        <f>IF(V87=0,IFERROR(LEFT(U87,VLOOKUP($H87,ELENCHI!$BG$24:$CB$123,6,FALSE)-VLOOKUP($H87,ELENCHI!$BG$24:$CB$123,11,FALSE))&amp;IF(VLOOKUP($H87,ELENCHI!$BG$24:$CB$123,11,FALSE)=0,"",",")&amp;RIGHT(U87,VLOOKUP($H87,ELENCHI!$BG$24:$CB$123,11,FALSE)),""),"!!!")</f>
        <v>!!!</v>
      </c>
      <c r="X87" s="105" t="str">
        <f t="shared" si="101"/>
        <v/>
      </c>
      <c r="Y87" s="105" t="str">
        <f>IF(LEFT($F87,1)="*",IF(VLOOKUP($H87,ELENCHI!$BG$24:$BO$123,7,FALSE)=LEN(X87),0,1),"")</f>
        <v/>
      </c>
      <c r="Z87" s="105" t="str">
        <f>IF(Y87=0,IFERROR(LEFT(X87,VLOOKUP($H87,ELENCHI!$BG$24:$CB$123,7,FALSE)-VLOOKUP($H87,ELENCHI!$BG$24:$CB$123,12,FALSE))&amp;IF(VLOOKUP($H87,ELENCHI!$BG$24:$CB$123,12,FALSE)=0,"",",")&amp;RIGHT(X87,VLOOKUP($H87,ELENCHI!$BG$24:$CB$123,12,FALSE)),""),"!!!")</f>
        <v>!!!</v>
      </c>
      <c r="AA87" s="113" t="str">
        <f t="shared" si="102"/>
        <v/>
      </c>
      <c r="AB87" s="113" t="str">
        <f>IF(LEFT($F87,1)="*",IF(VLOOKUP($H87,ELENCHI!$BG$24:$BO$123,8,FALSE)=LEN(AA87),0,1),"")</f>
        <v/>
      </c>
      <c r="AC87" s="113" t="str">
        <f>IF(AB87=0,IFERROR(LEFT(AA87,VLOOKUP($H87,ELENCHI!$BG$24:$CB$123,8,FALSE)-VLOOKUP($H87,ELENCHI!$BG$24:$CB$123,13,FALSE))&amp;IF(VLOOKUP($H87,ELENCHI!$BG$24:$CB$123,13,FALSE)=0,"",",")&amp;RIGHT(AA87,VLOOKUP($H87,ELENCHI!$BG$24:$CB$123,13,FALSE)),""),"!!!")</f>
        <v>!!!</v>
      </c>
      <c r="AD87" s="105" t="str">
        <f t="shared" si="103"/>
        <v/>
      </c>
      <c r="AE87" s="105" t="str">
        <f>IF(LEFT($F87,1)="*",IF(VLOOKUP($H87,ELENCHI!$BG$24:$BO$123,9,FALSE)=LEN(AD87),0,1),"")</f>
        <v/>
      </c>
      <c r="AF87" s="105" t="str">
        <f>IF(AE87=0,IFERROR(LEFT(AD87,VLOOKUP($H87,ELENCHI!$BG$24:$CB$123,9,FALSE)-VLOOKUP($H87,ELENCHI!$BG$24:$CB$123,14,FALSE))&amp;IF(VLOOKUP($H87,ELENCHI!$BG$24:$CB$123,14,FALSE)=0,"",",")&amp;RIGHT(AD87,VLOOKUP($H87,ELENCHI!$BG$24:$CB$123,14,FALSE)),""),"!!!")</f>
        <v>!!!</v>
      </c>
      <c r="AG87" s="117">
        <f t="shared" si="104"/>
        <v>0</v>
      </c>
      <c r="AH87" s="2" t="str">
        <f>AM86&amp;IF(H87&lt;&gt;0,VLOOKUP($H87,ELENCHI!$BG$24:$CB$123,16,FALSE)&amp;R87&amp;VLOOKUP($H87,ELENCHI!$BG$24:$CB$123,17,FALSE)&amp;U87&amp;VLOOKUP($H87,ELENCHI!$BG$24:$CB$123,18,FALSE)&amp;X87&amp;VLOOKUP($H87,ELENCHI!$BG$24:$CB$123,19,FALSE)&amp;AA87&amp;VLOOKUP($H87,ELENCHI!$BG$24:$CB$123,20,FALSE)&amp;AD87&amp;CHAR(10),I87&amp;IF(IFERROR(FIND(CHAR(10),LEFT(B87,LUNGH),1),0)&gt;0,CHAR(10),""))</f>
        <v/>
      </c>
      <c r="AI87" s="3" t="str">
        <f t="shared" si="105"/>
        <v xml:space="preserve"> </v>
      </c>
      <c r="AJ87" s="3">
        <f t="shared" si="106"/>
        <v>999</v>
      </c>
      <c r="AK87" s="3">
        <f t="shared" si="107"/>
        <v>999</v>
      </c>
      <c r="AL87" s="114" t="str">
        <f t="shared" si="96"/>
        <v xml:space="preserve">                                                     </v>
      </c>
      <c r="AM87" s="20" t="str">
        <f t="shared" si="97"/>
        <v/>
      </c>
      <c r="AN87" s="2">
        <f t="shared" si="108"/>
        <v>7</v>
      </c>
      <c r="AO87" s="462" t="str">
        <f t="shared" si="109"/>
        <v xml:space="preserve">                                                     </v>
      </c>
      <c r="AP87" s="462" t="str">
        <f t="shared" si="110"/>
        <v xml:space="preserve">7                                                            
</v>
      </c>
    </row>
    <row r="88" spans="1:44" x14ac:dyDescent="0.25">
      <c r="A88" s="2">
        <f>IF((ROW()-ROW($A$80))+SUM(STRINGA!$I$7:$M$7)&lt;=NUMRD*2+NUMRDJ,ROW()-ROW($A$80),"")</f>
        <v>8</v>
      </c>
      <c r="B88" s="14" t="str">
        <f t="shared" si="85"/>
        <v/>
      </c>
      <c r="C88" s="3" t="str">
        <f t="shared" si="86"/>
        <v xml:space="preserve"> </v>
      </c>
      <c r="D88" s="3">
        <f t="shared" si="98"/>
        <v>999</v>
      </c>
      <c r="E88" s="3">
        <f t="shared" si="111"/>
        <v>999</v>
      </c>
      <c r="F88" s="19" t="str">
        <f t="shared" si="88"/>
        <v xml:space="preserve">                                                     </v>
      </c>
      <c r="G88" s="20" t="str">
        <f t="shared" si="89"/>
        <v/>
      </c>
      <c r="H88" s="3">
        <f t="shared" si="90"/>
        <v>0</v>
      </c>
      <c r="I88" s="2" t="str">
        <f t="shared" si="91"/>
        <v/>
      </c>
      <c r="J88" s="436">
        <f>IF(I89&lt;&gt;"","",LEN(F88)-LEN(I88))</f>
        <v>53</v>
      </c>
      <c r="K88" s="433" t="str">
        <f t="shared" si="93"/>
        <v>0</v>
      </c>
      <c r="L88" s="2" t="str">
        <f t="shared" si="94"/>
        <v/>
      </c>
      <c r="M88" s="2" t="str">
        <f t="shared" si="94"/>
        <v/>
      </c>
      <c r="N88" s="2" t="str">
        <f t="shared" si="94"/>
        <v/>
      </c>
      <c r="O88" s="2" t="str">
        <f t="shared" si="94"/>
        <v/>
      </c>
      <c r="P88" s="2" t="str">
        <f t="shared" si="94"/>
        <v/>
      </c>
      <c r="Q88" s="2" t="str">
        <f t="shared" si="95"/>
        <v/>
      </c>
      <c r="R88" s="105" t="str">
        <f t="shared" si="99"/>
        <v/>
      </c>
      <c r="S88" s="105" t="str">
        <f>IF(LEFT($F88,1)="*",IF(VLOOKUP($H88,ELENCHI!$BG$24:$BO$123,5,FALSE)=LEN(R88),0,1),"")</f>
        <v/>
      </c>
      <c r="T88" s="105" t="str">
        <f>IF(S88=0,IFERROR(LEFT(R88,VLOOKUP($H88,ELENCHI!$BG$24:$CB$123,5,FALSE)-VLOOKUP($H88,ELENCHI!$BG$24:$CB$123,10,FALSE))&amp;IF(VLOOKUP($H88,ELENCHI!$BG$24:$CB$123,10,FALSE)=0,"",",")&amp;RIGHT(R88,VLOOKUP($H88,ELENCHI!$BG$24:$CB$123,10,FALSE)),""),"!!!")</f>
        <v>!!!</v>
      </c>
      <c r="U88" s="2" t="str">
        <f t="shared" si="100"/>
        <v/>
      </c>
      <c r="V88" s="2" t="str">
        <f>IF(LEFT($F88,1)="*",IF(VLOOKUP($H88,ELENCHI!$BG$24:$BO$123,6,FALSE)=LEN(U88),0,1),"")</f>
        <v/>
      </c>
      <c r="W88" s="2" t="str">
        <f>IF(V88=0,IFERROR(LEFT(U88,VLOOKUP($H88,ELENCHI!$BG$24:$CB$123,6,FALSE)-VLOOKUP($H88,ELENCHI!$BG$24:$CB$123,11,FALSE))&amp;IF(VLOOKUP($H88,ELENCHI!$BG$24:$CB$123,11,FALSE)=0,"",",")&amp;RIGHT(U88,VLOOKUP($H88,ELENCHI!$BG$24:$CB$123,11,FALSE)),""),"!!!")</f>
        <v>!!!</v>
      </c>
      <c r="X88" s="105" t="str">
        <f t="shared" si="101"/>
        <v/>
      </c>
      <c r="Y88" s="105" t="str">
        <f>IF(LEFT($F88,1)="*",IF(VLOOKUP($H88,ELENCHI!$BG$24:$BO$123,7,FALSE)=LEN(X88),0,1),"")</f>
        <v/>
      </c>
      <c r="Z88" s="105" t="str">
        <f>IF(Y88=0,IFERROR(LEFT(X88,VLOOKUP($H88,ELENCHI!$BG$24:$CB$123,7,FALSE)-VLOOKUP($H88,ELENCHI!$BG$24:$CB$123,12,FALSE))&amp;IF(VLOOKUP($H88,ELENCHI!$BG$24:$CB$123,12,FALSE)=0,"",",")&amp;RIGHT(X88,VLOOKUP($H88,ELENCHI!$BG$24:$CB$123,12,FALSE)),""),"!!!")</f>
        <v>!!!</v>
      </c>
      <c r="AA88" s="113" t="str">
        <f t="shared" si="102"/>
        <v/>
      </c>
      <c r="AB88" s="113" t="str">
        <f>IF(LEFT($F88,1)="*",IF(VLOOKUP($H88,ELENCHI!$BG$24:$BO$123,8,FALSE)=LEN(AA88),0,1),"")</f>
        <v/>
      </c>
      <c r="AC88" s="113" t="str">
        <f>IF(AB88=0,IFERROR(LEFT(AA88,VLOOKUP($H88,ELENCHI!$BG$24:$CB$123,8,FALSE)-VLOOKUP($H88,ELENCHI!$BG$24:$CB$123,13,FALSE))&amp;IF(VLOOKUP($H88,ELENCHI!$BG$24:$CB$123,13,FALSE)=0,"",",")&amp;RIGHT(AA88,VLOOKUP($H88,ELENCHI!$BG$24:$CB$123,13,FALSE)),""),"!!!")</f>
        <v>!!!</v>
      </c>
      <c r="AD88" s="105" t="str">
        <f t="shared" si="103"/>
        <v/>
      </c>
      <c r="AE88" s="105" t="str">
        <f>IF(LEFT($F88,1)="*",IF(VLOOKUP($H88,ELENCHI!$BG$24:$BO$123,9,FALSE)=LEN(AD88),0,1),"")</f>
        <v/>
      </c>
      <c r="AF88" s="105" t="str">
        <f>IF(AE88=0,IFERROR(LEFT(AD88,VLOOKUP($H88,ELENCHI!$BG$24:$CB$123,9,FALSE)-VLOOKUP($H88,ELENCHI!$BG$24:$CB$123,14,FALSE))&amp;IF(VLOOKUP($H88,ELENCHI!$BG$24:$CB$123,14,FALSE)=0,"",",")&amp;RIGHT(AD88,VLOOKUP($H88,ELENCHI!$BG$24:$CB$123,14,FALSE)),""),"!!!")</f>
        <v>!!!</v>
      </c>
      <c r="AG88" s="117">
        <f t="shared" si="104"/>
        <v>0</v>
      </c>
      <c r="AH88" s="2" t="str">
        <f>AM87&amp;IF(H88&lt;&gt;0,VLOOKUP($H88,ELENCHI!$BG$24:$CB$123,16,FALSE)&amp;R88&amp;VLOOKUP($H88,ELENCHI!$BG$24:$CB$123,17,FALSE)&amp;U88&amp;VLOOKUP($H88,ELENCHI!$BG$24:$CB$123,18,FALSE)&amp;X88&amp;VLOOKUP($H88,ELENCHI!$BG$24:$CB$123,19,FALSE)&amp;AA88&amp;VLOOKUP($H88,ELENCHI!$BG$24:$CB$123,20,FALSE)&amp;AD88&amp;CHAR(10),I88&amp;IF(IFERROR(FIND(CHAR(10),LEFT(B88,LUNGH),1),0)&gt;0,CHAR(10),""))</f>
        <v/>
      </c>
      <c r="AI88" s="3" t="str">
        <f t="shared" si="105"/>
        <v xml:space="preserve"> </v>
      </c>
      <c r="AJ88" s="3">
        <f t="shared" si="106"/>
        <v>999</v>
      </c>
      <c r="AK88" s="3">
        <f t="shared" si="107"/>
        <v>999</v>
      </c>
      <c r="AL88" s="114" t="str">
        <f t="shared" si="96"/>
        <v xml:space="preserve">                                                     </v>
      </c>
      <c r="AM88" s="20" t="str">
        <f t="shared" si="97"/>
        <v/>
      </c>
      <c r="AN88" s="2">
        <f t="shared" si="108"/>
        <v>8</v>
      </c>
      <c r="AO88" s="462" t="str">
        <f t="shared" si="109"/>
        <v xml:space="preserve">                                                     </v>
      </c>
      <c r="AP88" s="462" t="str">
        <f t="shared" si="110"/>
        <v xml:space="preserve">8                                                            
</v>
      </c>
    </row>
    <row r="89" spans="1:44" x14ac:dyDescent="0.25">
      <c r="A89" s="117">
        <f>IF((ROW()-ROW($A$80))+SUM(STRINGA!$I$7:$M$7)&lt;=NUMRD*2+NUMRDJ,ROW()-ROW($A$80),"")</f>
        <v>9</v>
      </c>
      <c r="B89" s="145" t="str">
        <f t="shared" si="85"/>
        <v/>
      </c>
      <c r="C89" s="146" t="str">
        <f t="shared" si="86"/>
        <v xml:space="preserve"> </v>
      </c>
      <c r="D89" s="146">
        <f t="shared" si="98"/>
        <v>999</v>
      </c>
      <c r="E89" s="146">
        <f t="shared" si="111"/>
        <v>999</v>
      </c>
      <c r="F89" s="144" t="str">
        <f t="shared" si="88"/>
        <v xml:space="preserve">                                                     </v>
      </c>
      <c r="G89" s="147" t="str">
        <f t="shared" si="89"/>
        <v/>
      </c>
      <c r="H89" s="146">
        <f t="shared" si="90"/>
        <v>0</v>
      </c>
      <c r="I89" s="143" t="str">
        <f>CLEAN(LEFT(LEFT(CLEAN(B89),MIN(D89,E89)),LUNGH))</f>
        <v/>
      </c>
      <c r="AF89" s="437" t="s">
        <v>803</v>
      </c>
      <c r="AG89" s="423">
        <f>SUM(AG81:AG88)</f>
        <v>0</v>
      </c>
      <c r="AH89" s="2" t="str">
        <f>AM88&amp;IF(H89&lt;&gt;0,VLOOKUP($H89,ELENCHI!$BG$24:$CB$123,16,FALSE)&amp;R89&amp;VLOOKUP($H89,ELENCHI!$BG$24:$CB$123,17,FALSE)&amp;U89&amp;VLOOKUP($H89,ELENCHI!$BG$24:$CB$123,18,FALSE)&amp;X89&amp;VLOOKUP($H89,ELENCHI!$BG$24:$CB$123,19,FALSE)&amp;AA89&amp;VLOOKUP($H89,ELENCHI!$BG$24:$CB$123,20,FALSE)&amp;AD89&amp;CHAR(10),I89&amp;IF(IFERROR(FIND(CHAR(10),LEFT(B89,LUNGH),1),0)&gt;0,CHAR(10),""))</f>
        <v/>
      </c>
      <c r="AI89" s="3" t="str">
        <f t="shared" si="105"/>
        <v xml:space="preserve"> </v>
      </c>
      <c r="AJ89" s="3">
        <f t="shared" si="106"/>
        <v>999</v>
      </c>
      <c r="AK89" s="3">
        <f t="shared" si="107"/>
        <v>999</v>
      </c>
      <c r="AL89" s="114" t="str">
        <f t="shared" si="96"/>
        <v xml:space="preserve">                                                     </v>
      </c>
      <c r="AM89" s="20" t="str">
        <f t="shared" si="97"/>
        <v/>
      </c>
      <c r="AN89" s="463" t="s">
        <v>778</v>
      </c>
      <c r="AO89" s="463"/>
      <c r="AP89" s="463"/>
    </row>
    <row r="90" spans="1:44" x14ac:dyDescent="0.25">
      <c r="A90" s="5" t="s">
        <v>778</v>
      </c>
      <c r="B90" s="6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AF90" s="613" t="s">
        <v>804</v>
      </c>
      <c r="AG90" s="611" t="str">
        <f>IFERROR(IF(AG89&gt;0,": ERRORE, LUNGHEZZA DATI ASTERISCATA","                                    "),":   ERRORE, ASTERISCATA NON IN ELENCO O ERRATA")</f>
        <v xml:space="preserve">                                    </v>
      </c>
      <c r="AH90" s="2" t="str">
        <f>AM89&amp;IF(H90&lt;&gt;0,VLOOKUP($H90,ELENCHI!$BG$24:$CB$123,16,FALSE)&amp;R90&amp;VLOOKUP($H90,ELENCHI!$BG$24:$CB$123,17,FALSE)&amp;U90&amp;VLOOKUP($H90,ELENCHI!$BG$24:$CB$123,18,FALSE)&amp;X90&amp;VLOOKUP($H90,ELENCHI!$BG$24:$CB$123,19,FALSE)&amp;AA90&amp;VLOOKUP($H90,ELENCHI!$BG$24:$CB$123,20,FALSE)&amp;AD90&amp;CHAR(10),I90&amp;IF(IFERROR(FIND(CHAR(10),LEFT(B90,LUNGH),1),0)&gt;0,CHAR(10),""))</f>
        <v/>
      </c>
      <c r="AI90" s="3" t="str">
        <f t="shared" si="105"/>
        <v xml:space="preserve"> </v>
      </c>
      <c r="AJ90" s="3">
        <f t="shared" si="106"/>
        <v>999</v>
      </c>
      <c r="AK90" s="3">
        <f t="shared" si="107"/>
        <v>999</v>
      </c>
      <c r="AL90" s="114" t="str">
        <f t="shared" si="96"/>
        <v xml:space="preserve">                                                     </v>
      </c>
      <c r="AM90" s="20" t="str">
        <f t="shared" si="97"/>
        <v/>
      </c>
      <c r="AN90" s="608" t="str">
        <f>CONCATENATE(AP81,AP82,AP83,AP84,AP85,AP86,AP87,AP88,)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AO90" s="608"/>
      <c r="AP90" s="608"/>
    </row>
    <row r="91" spans="1:44" ht="39" customHeight="1" x14ac:dyDescent="0.25">
      <c r="A91" s="618" t="str">
        <f>CONCATENATE(F81,F82,F83,F84,F85,F86,F87,F88)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91" s="619"/>
      <c r="C91" s="424"/>
      <c r="D91" s="424"/>
      <c r="E91" s="424"/>
      <c r="F91" s="424"/>
      <c r="G91" s="424"/>
      <c r="H91" s="424"/>
      <c r="I91" s="424"/>
      <c r="J91" s="424"/>
      <c r="K91" s="425"/>
      <c r="L91" s="8"/>
      <c r="M91" s="8"/>
      <c r="N91" s="8"/>
      <c r="O91" s="8"/>
      <c r="P91" s="8"/>
      <c r="Q91" s="8"/>
      <c r="AF91" s="613"/>
      <c r="AG91" s="611"/>
      <c r="AH91" s="2" t="str">
        <f>AM90&amp;IF(H91&lt;&gt;0,VLOOKUP($H91,ELENCHI!$BG$24:$CB$123,16,FALSE)&amp;R91&amp;VLOOKUP($H91,ELENCHI!$BG$24:$CB$123,17,FALSE)&amp;U91&amp;VLOOKUP($H91,ELENCHI!$BG$24:$CB$123,18,FALSE)&amp;X91&amp;VLOOKUP($H91,ELENCHI!$BG$24:$CB$123,19,FALSE)&amp;AA91&amp;VLOOKUP($H91,ELENCHI!$BG$24:$CB$123,20,FALSE)&amp;AD91&amp;CHAR(10),I91&amp;IF(IFERROR(FIND(CHAR(10),LEFT(B91,LUNGH),1),0)&gt;0,CHAR(10),""))</f>
        <v/>
      </c>
      <c r="AI91" s="3" t="str">
        <f t="shared" si="105"/>
        <v xml:space="preserve"> </v>
      </c>
      <c r="AJ91" s="3">
        <f t="shared" si="106"/>
        <v>999</v>
      </c>
      <c r="AK91" s="3">
        <f t="shared" si="107"/>
        <v>999</v>
      </c>
      <c r="AL91" s="114" t="str">
        <f t="shared" si="96"/>
        <v xml:space="preserve">                                                     </v>
      </c>
      <c r="AM91" s="20" t="str">
        <f t="shared" si="97"/>
        <v/>
      </c>
      <c r="AN91" s="608"/>
      <c r="AO91" s="608"/>
      <c r="AP91" s="608"/>
    </row>
    <row r="92" spans="1:44" ht="50.25" customHeight="1" x14ac:dyDescent="0.25">
      <c r="A92" s="620"/>
      <c r="B92" s="621"/>
      <c r="AF92" s="609" t="s">
        <v>805</v>
      </c>
      <c r="AG92" s="610"/>
      <c r="AH92" s="428" t="str">
        <f>CONCATENATE(AL81,AL82,AL83,AL84,AL85,AL86,AL87,AL88,AL89,AL90,AL91)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I92" s="439"/>
      <c r="AJ92" s="439"/>
      <c r="AK92" s="439"/>
      <c r="AL92" s="439"/>
      <c r="AM92" s="439"/>
      <c r="AN92" s="608"/>
      <c r="AO92" s="608"/>
      <c r="AP92" s="608"/>
      <c r="AQ92" s="426"/>
      <c r="AR92" s="426"/>
    </row>
    <row r="93" spans="1:44" ht="56.25" customHeight="1" x14ac:dyDescent="0.25"/>
  </sheetData>
  <sheetProtection password="F972" sheet="1" objects="1" scenarios="1" selectLockedCells="1" selectUnlockedCells="1"/>
  <mergeCells count="39">
    <mergeCell ref="AI6:AK6"/>
    <mergeCell ref="C6:E6"/>
    <mergeCell ref="R6:AF6"/>
    <mergeCell ref="A4:B4"/>
    <mergeCell ref="A19:B20"/>
    <mergeCell ref="A91:B92"/>
    <mergeCell ref="A43:B44"/>
    <mergeCell ref="AF66:AF67"/>
    <mergeCell ref="C54:E54"/>
    <mergeCell ref="R54:AF54"/>
    <mergeCell ref="K54:Q54"/>
    <mergeCell ref="AF42:AF43"/>
    <mergeCell ref="A67:B68"/>
    <mergeCell ref="K78:Q78"/>
    <mergeCell ref="C78:E78"/>
    <mergeCell ref="R78:AF78"/>
    <mergeCell ref="A76:B76"/>
    <mergeCell ref="A28:B28"/>
    <mergeCell ref="K6:Q6"/>
    <mergeCell ref="AF20:AG20"/>
    <mergeCell ref="C30:E30"/>
    <mergeCell ref="AF18:AF19"/>
    <mergeCell ref="R30:AF30"/>
    <mergeCell ref="K30:Q30"/>
    <mergeCell ref="AN18:AP20"/>
    <mergeCell ref="AN42:AP44"/>
    <mergeCell ref="AN66:AP68"/>
    <mergeCell ref="AN90:AP92"/>
    <mergeCell ref="AF92:AG92"/>
    <mergeCell ref="AG18:AG19"/>
    <mergeCell ref="AI78:AK78"/>
    <mergeCell ref="AI30:AK30"/>
    <mergeCell ref="AI54:AK54"/>
    <mergeCell ref="AF44:AG44"/>
    <mergeCell ref="AG66:AG67"/>
    <mergeCell ref="AF68:AG68"/>
    <mergeCell ref="AG42:AG43"/>
    <mergeCell ref="AF90:AF91"/>
    <mergeCell ref="AG90:AG91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C1058A34-5231-489D-A7F7-084DDCF8A2AF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AG18 AG9:AG16</xm:sqref>
        </x14:conditionalFormatting>
        <x14:conditionalFormatting xmlns:xm="http://schemas.microsoft.com/office/excel/2006/main">
          <x14:cfRule type="iconSet" priority="10" id="{597EB26A-C7FA-479D-8BCC-B67D19172C9A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S81</xm:sqref>
        </x14:conditionalFormatting>
        <x14:conditionalFormatting xmlns:xm="http://schemas.microsoft.com/office/excel/2006/main">
          <x14:cfRule type="iconSet" priority="68" id="{A667395F-AC88-4B62-B4C3-DE2D49EF162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S9:S16 V9:V16 Y9:Y16 AB9:AB16 AE9:AE16</xm:sqref>
        </x14:conditionalFormatting>
        <x14:conditionalFormatting xmlns:xm="http://schemas.microsoft.com/office/excel/2006/main">
          <x14:cfRule type="iconSet" priority="72" id="{C0DC1F93-24F6-420C-B36D-0131FCB105E8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AG33:AG40</xm:sqref>
        </x14:conditionalFormatting>
        <x14:conditionalFormatting xmlns:xm="http://schemas.microsoft.com/office/excel/2006/main">
          <x14:cfRule type="iconSet" priority="73" id="{CEDDEDF6-692A-4363-8396-C4610A030AE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S33:S40 V33:V40 Y33:Y40 AB33:AB40 AE33:AE40</xm:sqref>
        </x14:conditionalFormatting>
        <x14:conditionalFormatting xmlns:xm="http://schemas.microsoft.com/office/excel/2006/main">
          <x14:cfRule type="iconSet" priority="74" id="{5B9325E3-4783-41A7-9C1C-F4926DCB71AC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AG57:AG64</xm:sqref>
        </x14:conditionalFormatting>
        <x14:conditionalFormatting xmlns:xm="http://schemas.microsoft.com/office/excel/2006/main">
          <x14:cfRule type="iconSet" priority="75" id="{C44E3F90-3D68-4027-B600-4FABD1E450EB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S57:S64 V57:V64 Y57:Y64 AB57:AB64 AE57:AE64</xm:sqref>
        </x14:conditionalFormatting>
        <x14:conditionalFormatting xmlns:xm="http://schemas.microsoft.com/office/excel/2006/main">
          <x14:cfRule type="iconSet" priority="76" id="{1051F77A-942F-4B6C-9A55-81E767833BB0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AG81:AG88</xm:sqref>
        </x14:conditionalFormatting>
        <x14:conditionalFormatting xmlns:xm="http://schemas.microsoft.com/office/excel/2006/main">
          <x14:cfRule type="iconSet" priority="77" id="{21375CF7-25CD-43B2-980B-2BCC772F785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S82:S88 V81:V88 Y81:Y88 AB81:AB88 AE81:AE88</xm:sqref>
        </x14:conditionalFormatting>
        <x14:conditionalFormatting xmlns:xm="http://schemas.microsoft.com/office/excel/2006/main">
          <x14:cfRule type="iconSet" priority="3" id="{F5AA04A4-E41B-48C0-AEB1-A6D7AB5227A6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AG42</xm:sqref>
        </x14:conditionalFormatting>
        <x14:conditionalFormatting xmlns:xm="http://schemas.microsoft.com/office/excel/2006/main">
          <x14:cfRule type="iconSet" priority="2" id="{5E1E8A15-FCFD-4907-AA7A-E35CC9830F9E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AG66</xm:sqref>
        </x14:conditionalFormatting>
        <x14:conditionalFormatting xmlns:xm="http://schemas.microsoft.com/office/excel/2006/main">
          <x14:cfRule type="iconSet" priority="1" id="{6C0F3EEE-D85A-4089-9096-9CFCA41CE32C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AG90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2" tint="-9.9978637043366805E-2"/>
  </sheetPr>
  <dimension ref="A1:AP81"/>
  <sheetViews>
    <sheetView topLeftCell="AF1" zoomScale="85" zoomScaleNormal="85" workbookViewId="0">
      <pane ySplit="1" topLeftCell="A62" activePane="bottomLeft" state="frozen"/>
      <selection activeCell="R29" sqref="R29:AF36"/>
      <selection pane="bottomLeft" activeCell="AJ69" sqref="AJ69:AJ79"/>
    </sheetView>
  </sheetViews>
  <sheetFormatPr defaultRowHeight="15" x14ac:dyDescent="0.25"/>
  <cols>
    <col min="1" max="1" width="8.140625" customWidth="1"/>
    <col min="2" max="2" width="55.5703125" customWidth="1"/>
    <col min="3" max="4" width="9.7109375" bestFit="1" customWidth="1"/>
    <col min="5" max="5" width="12.7109375" customWidth="1"/>
    <col min="6" max="6" width="44.5703125" customWidth="1"/>
    <col min="7" max="7" width="42.28515625" customWidth="1"/>
    <col min="8" max="8" width="22.140625" customWidth="1"/>
    <col min="9" max="9" width="55.140625" customWidth="1"/>
    <col min="10" max="10" width="22.140625" customWidth="1"/>
    <col min="32" max="32" width="17.140625" customWidth="1"/>
    <col min="33" max="33" width="13.42578125" customWidth="1"/>
    <col min="34" max="34" width="67.28515625" customWidth="1"/>
    <col min="38" max="38" width="45" bestFit="1" customWidth="1"/>
    <col min="39" max="39" width="47.28515625" customWidth="1"/>
    <col min="41" max="41" width="32.42578125" customWidth="1"/>
    <col min="42" max="42" width="34.5703125" customWidth="1"/>
  </cols>
  <sheetData>
    <row r="1" spans="1:42" ht="33.75" customHeight="1" x14ac:dyDescent="0.25">
      <c r="A1" s="503" t="s">
        <v>809</v>
      </c>
      <c r="B1" s="32"/>
      <c r="C1" s="32"/>
      <c r="D1" s="32"/>
      <c r="E1" s="32"/>
      <c r="F1" s="32"/>
      <c r="G1" s="32"/>
      <c r="H1" s="32"/>
      <c r="I1" s="32"/>
      <c r="J1" s="32"/>
    </row>
    <row r="2" spans="1:42" s="8" customFormat="1" ht="33.75" x14ac:dyDescent="0.5">
      <c r="A2" s="483" t="s">
        <v>769</v>
      </c>
      <c r="B2" s="484"/>
      <c r="C2" s="471"/>
      <c r="D2" s="471"/>
      <c r="E2" s="471"/>
      <c r="F2" s="471"/>
      <c r="G2" s="471"/>
      <c r="H2" s="471"/>
      <c r="I2" s="471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</row>
    <row r="3" spans="1:42" x14ac:dyDescent="0.25">
      <c r="A3" s="485" t="s">
        <v>108</v>
      </c>
      <c r="B3" s="48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4.5" customHeight="1" x14ac:dyDescent="0.25">
      <c r="A4" s="628" t="str">
        <f>UPPER(INSERIMENTO!CQ4)</f>
        <v/>
      </c>
      <c r="B4" s="628"/>
      <c r="C4" s="15"/>
      <c r="D4" s="15"/>
      <c r="E4" s="15"/>
      <c r="F4" s="15"/>
      <c r="I4" s="7"/>
    </row>
    <row r="5" spans="1:42" x14ac:dyDescent="0.25">
      <c r="A5" s="426"/>
      <c r="B5" s="487"/>
      <c r="F5" s="8"/>
      <c r="G5" s="8"/>
      <c r="H5" s="8"/>
      <c r="I5" s="8"/>
      <c r="J5" s="16" t="s">
        <v>770</v>
      </c>
      <c r="K5" s="106"/>
    </row>
    <row r="6" spans="1:42" x14ac:dyDescent="0.25">
      <c r="A6" s="488"/>
      <c r="B6" s="489"/>
      <c r="C6" s="612" t="s">
        <v>771</v>
      </c>
      <c r="D6" s="612"/>
      <c r="E6" s="612"/>
      <c r="J6" s="436">
        <f>SUM(J8:J16)-LEN(I17)</f>
        <v>371</v>
      </c>
      <c r="K6" s="617" t="s">
        <v>771</v>
      </c>
      <c r="L6" s="615"/>
      <c r="M6" s="615"/>
      <c r="N6" s="615"/>
      <c r="O6" s="615"/>
      <c r="P6" s="615"/>
      <c r="Q6" s="616"/>
      <c r="R6" s="617" t="s">
        <v>772</v>
      </c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I6" s="612" t="s">
        <v>773</v>
      </c>
      <c r="AJ6" s="612"/>
      <c r="AK6" s="612"/>
      <c r="AN6" s="460" t="s">
        <v>861</v>
      </c>
      <c r="AO6" s="460"/>
      <c r="AP6" s="460"/>
    </row>
    <row r="7" spans="1:42" x14ac:dyDescent="0.25">
      <c r="A7" s="490" t="s">
        <v>774</v>
      </c>
      <c r="B7" s="491"/>
      <c r="C7" s="447" t="s">
        <v>775</v>
      </c>
      <c r="D7" s="447" t="s">
        <v>776</v>
      </c>
      <c r="E7" s="447" t="s">
        <v>777</v>
      </c>
      <c r="F7" s="447" t="s">
        <v>778</v>
      </c>
      <c r="G7" s="447" t="s">
        <v>779</v>
      </c>
      <c r="H7" s="447" t="s">
        <v>233</v>
      </c>
      <c r="I7" s="447" t="s">
        <v>780</v>
      </c>
      <c r="J7" s="16" t="s">
        <v>781</v>
      </c>
      <c r="K7" s="16">
        <v>0</v>
      </c>
      <c r="L7" s="16" t="s">
        <v>782</v>
      </c>
      <c r="M7" s="16" t="s">
        <v>783</v>
      </c>
      <c r="N7" s="16" t="s">
        <v>784</v>
      </c>
      <c r="O7" s="16" t="s">
        <v>785</v>
      </c>
      <c r="P7" s="16" t="s">
        <v>786</v>
      </c>
      <c r="Q7" s="16" t="s">
        <v>787</v>
      </c>
      <c r="R7" s="16" t="s">
        <v>782</v>
      </c>
      <c r="S7" s="16" t="s">
        <v>788</v>
      </c>
      <c r="T7" s="16" t="s">
        <v>789</v>
      </c>
      <c r="U7" s="16" t="s">
        <v>783</v>
      </c>
      <c r="V7" s="16" t="s">
        <v>790</v>
      </c>
      <c r="W7" s="16" t="s">
        <v>791</v>
      </c>
      <c r="X7" s="16" t="s">
        <v>784</v>
      </c>
      <c r="Y7" s="16" t="s">
        <v>792</v>
      </c>
      <c r="Z7" s="16" t="s">
        <v>793</v>
      </c>
      <c r="AA7" s="16" t="s">
        <v>785</v>
      </c>
      <c r="AB7" s="16" t="s">
        <v>794</v>
      </c>
      <c r="AC7" s="16" t="s">
        <v>795</v>
      </c>
      <c r="AD7" s="16" t="s">
        <v>786</v>
      </c>
      <c r="AE7" s="16" t="s">
        <v>796</v>
      </c>
      <c r="AF7" s="16" t="s">
        <v>797</v>
      </c>
      <c r="AG7" s="16" t="s">
        <v>798</v>
      </c>
      <c r="AH7" s="16" t="s">
        <v>799</v>
      </c>
      <c r="AI7" s="447" t="s">
        <v>775</v>
      </c>
      <c r="AJ7" s="447" t="s">
        <v>776</v>
      </c>
      <c r="AK7" s="447" t="s">
        <v>777</v>
      </c>
      <c r="AL7" s="447" t="s">
        <v>800</v>
      </c>
      <c r="AM7" s="447" t="s">
        <v>801</v>
      </c>
      <c r="AN7" s="461" t="s">
        <v>862</v>
      </c>
      <c r="AO7" s="461" t="s">
        <v>863</v>
      </c>
      <c r="AP7" s="461" t="s">
        <v>864</v>
      </c>
    </row>
    <row r="8" spans="1:42" x14ac:dyDescent="0.25">
      <c r="A8" s="2">
        <f>IF(NUMRD+(ROW()-ROW($A$8))+SUM(STRINGA!$I$6:$M$6)&lt;=NUMRD*2+NUMRDJ,ROW()-ROW($A$8),"")</f>
        <v>0</v>
      </c>
      <c r="B8" s="11" t="s">
        <v>802</v>
      </c>
      <c r="C8" s="43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x14ac:dyDescent="0.25">
      <c r="A9" s="2">
        <f>IF(NUMRD+(ROW()-ROW($A$8))+SUM(STRINGA!$I$6:$M$6)&lt;=NUMRD*2+NUMRDJ,ROW()-ROW($A$8),"")</f>
        <v>1</v>
      </c>
      <c r="B9" s="14" t="str">
        <f t="shared" ref="B9:B17" si="0">IF(OR(LEFT(IFERROR(G8&amp;MID($A$4,(A8)*LUNGH+1,LUNGH),""),1)=CHAR(10),LEFT(IFERROR(G8&amp;MID($A$4,(A8)*LUNGH+1,LUNGH),""),1)=" "),MID(IFERROR(G8&amp;MID($A$4,(A8)*LUNGH+1,LUNGH),""),2,999),IFERROR(G8&amp;MID($A$4,(A8)*LUNGH+1,LUNGH),""))</f>
        <v/>
      </c>
      <c r="C9" s="433" t="str">
        <f t="shared" ref="C9:C17" si="1">IFERROR(FIND("*",B9)," ")</f>
        <v xml:space="preserve"> </v>
      </c>
      <c r="D9" s="3">
        <f>IFERROR(IF(C9=1,FIND("*",B9,C9+1),999),999)</f>
        <v>999</v>
      </c>
      <c r="E9" s="3">
        <f t="shared" ref="E9:E13" si="2">IFERROR(FIND(CHAR(10),B9,2)-1-IF(LEFT(B9,1)=CHAR(10),1,0),999)</f>
        <v>999</v>
      </c>
      <c r="F9" s="19" t="str">
        <f t="shared" ref="F9:F17" si="3">IF(A9&lt;&gt;"",LEFT(LEFT(CLEAN(B9),MIN(D9,E9))&amp;SPAZI,LUNGH),"")</f>
        <v xml:space="preserve">                                                     </v>
      </c>
      <c r="G9" s="20" t="str">
        <f t="shared" ref="G9:G16" si="4">MID(B9,MIN(D9+1,E9+2,LUNGH+1+IF(E9=LUNGH,1,0)+IF(LEFT(B9,1)=CHAR(10),1,0)),1000)</f>
        <v/>
      </c>
      <c r="H9" s="3">
        <f t="shared" ref="H9:H17" si="5">IF(IFERROR(LEFT(F9,MIN(IFERROR(FIND("=",F9,2)-1,1000),FIND("*",F9,2)-1)),0)="*SOSPE",LEFT(F9,8),IFERROR(IF(C9=1,LEFT(F9,MIN(IFERROR(FIND("=",F9,2)-1,1000),FIND("*",F9,2)-1)),0),0))</f>
        <v>0</v>
      </c>
      <c r="I9" s="2" t="str">
        <f t="shared" ref="I9:I16" si="6">CLEAN(LEFT(LEFT(CLEAN(B9),MIN(D9,E9)),LUNGH))</f>
        <v/>
      </c>
      <c r="J9" s="2">
        <f t="shared" ref="J9:J16" si="7">IF(I10&lt;&gt;"","",LEN(F9)-LEN(I9))</f>
        <v>53</v>
      </c>
      <c r="K9" s="3" t="str">
        <f>"0"</f>
        <v>0</v>
      </c>
      <c r="L9" s="2" t="str">
        <f>IF(LEFT($F9,1)="*",IFERROR(FIND("=",$F9,K9+1),$D9),"")</f>
        <v/>
      </c>
      <c r="M9" s="2" t="str">
        <f>IF(LEFT($F9,1)="*",IFERROR(FIND("=",$F9,L9+1),$D9),"")</f>
        <v/>
      </c>
      <c r="N9" s="2" t="str">
        <f>IF(LEFT($F9,1)="*",IFERROR(FIND("=",$F9,M9+1),$D9),"")</f>
        <v/>
      </c>
      <c r="O9" s="2" t="str">
        <f>IF(LEFT($F9,1)="*",IFERROR(FIND("=",$F9,N9+1),$D9),"")</f>
        <v/>
      </c>
      <c r="P9" s="2" t="str">
        <f>IF(LEFT($F9,1)="*",IFERROR(FIND("=",$F9,O9+1),$D9),"")</f>
        <v/>
      </c>
      <c r="Q9" s="2" t="str">
        <f t="shared" ref="Q9:Q16" si="8">IF(LEFT($F9,1)="*",IFERROR(FIND("=",$F9,O9+1),$D9),"")</f>
        <v/>
      </c>
      <c r="R9" s="105" t="str">
        <f>IF(LEFT($H9,6)="*SOSPE"," ",IF(LEFT($F9,1)="*",MID($F9,L9+1,MAX(M9-L9-1,0)),""))</f>
        <v/>
      </c>
      <c r="S9" s="105" t="str">
        <f>IF(LEFT($F9,1)="*",IF(VLOOKUP($H9,ELENCHI!$BG$24:$BO$123,5,FALSE)=LEN(R9),0,1),"")</f>
        <v/>
      </c>
      <c r="T9" s="105" t="str">
        <f>IF(S9=0,IFERROR(LEFT(R9,VLOOKUP($H9,ELENCHI!$BG$24:$CB$123,5,FALSE)-VLOOKUP($H9,ELENCHI!$BG$24:$CB$123,10,FALSE))&amp;IF(VLOOKUP($H9,ELENCHI!$BG$24:$CB$123,10,FALSE)=0,"",",")&amp;RIGHT(R9,VLOOKUP($H9,ELENCHI!$BG$24:$CB$123,10,FALSE)),""),"!!!")</f>
        <v>!!!</v>
      </c>
      <c r="U9" s="2" t="str">
        <f>IF(LEFT($F9,1)="*",MID($F9,M9+1,MAX(N9-M9-1,0)),"")</f>
        <v/>
      </c>
      <c r="V9" s="2" t="str">
        <f>IF(LEFT($F9,1)="*",IF(VLOOKUP($H9,ELENCHI!$BG$24:$BO$123,6,FALSE)=LEN(U9),0,1),"")</f>
        <v/>
      </c>
      <c r="W9" s="2" t="str">
        <f>IF(V9=0,IFERROR(LEFT(U9,VLOOKUP($H9,ELENCHI!$BG$24:$CB$123,6,FALSE)-VLOOKUP($H9,ELENCHI!$BG$24:$CB$123,11,FALSE))&amp;IF(VLOOKUP($H9,ELENCHI!$BG$24:$CB$123,11,FALSE)=0,"",",")&amp;RIGHT(U9,VLOOKUP($H9,ELENCHI!$BG$24:$CB$123,11,FALSE)),""),"!!!")</f>
        <v>!!!</v>
      </c>
      <c r="X9" s="105" t="str">
        <f>IF(LEFT($F9,1)="*",MID($F9,N9+1,MAX(O9-N9-1,0)),"")</f>
        <v/>
      </c>
      <c r="Y9" s="105" t="str">
        <f>IF(LEFT($F9,1)="*",IF(VLOOKUP($H9,ELENCHI!$BG$24:$BO$123,7,FALSE)=LEN(X9),0,1),"")</f>
        <v/>
      </c>
      <c r="Z9" s="105" t="str">
        <f>IF(Y9=0,IFERROR(LEFT(X9,VLOOKUP($H9,ELENCHI!$BG$24:$CB$123,7,FALSE)-VLOOKUP($H9,ELENCHI!$BG$24:$CB$123,12,FALSE))&amp;IF(VLOOKUP($H9,ELENCHI!$BG$24:$CB$123,12,FALSE)=0,"",",")&amp;RIGHT(X9,VLOOKUP($H9,ELENCHI!$BG$24:$CB$123,12,FALSE)),""),"!!!")</f>
        <v>!!!</v>
      </c>
      <c r="AA9" s="113" t="str">
        <f>IF(LEFT($F9,1)="*",MID($F9,O9+1,MAX(P9-O9-1,0)),"")</f>
        <v/>
      </c>
      <c r="AB9" s="113" t="str">
        <f>IF(LEFT($F9,1)="*",IF(VLOOKUP($H9,ELENCHI!$BG$24:$BO$123,8,FALSE)=LEN(AA9),0,1),"")</f>
        <v/>
      </c>
      <c r="AC9" s="113" t="str">
        <f>IF(AB9=0,IFERROR(LEFT(AA9,VLOOKUP($H9,ELENCHI!$BG$24:$CB$123,8,FALSE)-VLOOKUP($H9,ELENCHI!$BG$24:$CB$123,13,FALSE))&amp;IF(VLOOKUP($H9,ELENCHI!$BG$24:$CB$123,13,FALSE)=0,"",",")&amp;RIGHT(AA9,VLOOKUP($H9,ELENCHI!$BG$24:$CB$123,13,FALSE)),""),"!!!")</f>
        <v>!!!</v>
      </c>
      <c r="AD9" s="105" t="str">
        <f>IF(LEFT($F9,1)="*",MID($F9,P9+1,MAX(Q9-P9-1,0)),"")</f>
        <v/>
      </c>
      <c r="AE9" s="105" t="str">
        <f>IF(LEFT($F9,1)="*",IF(VLOOKUP($H9,ELENCHI!$BG$24:$BO$123,9,FALSE)=LEN(AD9),0,1),"")</f>
        <v/>
      </c>
      <c r="AF9" s="105" t="str">
        <f>IF(AE9=0,IFERROR(LEFT(AD9,VLOOKUP($H9,ELENCHI!$BG$24:$CB$123,9,FALSE)-VLOOKUP($H9,ELENCHI!$BG$24:$CB$123,14,FALSE))&amp;IF(VLOOKUP($H9,ELENCHI!$BG$24:$CB$123,14,FALSE)=0,"",",")&amp;RIGHT(AD9,VLOOKUP($H9,ELENCHI!$BG$24:$CB$123,14,FALSE)),""),"!!!")</f>
        <v>!!!</v>
      </c>
      <c r="AG9" s="117">
        <f>SUM(S9,V9,Y9,AB9,AE9)</f>
        <v>0</v>
      </c>
      <c r="AH9" s="2" t="str">
        <f>AM8&amp;IF(H9&lt;&gt;0,VLOOKUP($H9,ELENCHI!$BG$24:$CB$123,16,FALSE)&amp;T9&amp;VLOOKUP($H9,ELENCHI!$BG$24:$CB$123,17,FALSE)&amp;W9&amp;VLOOKUP($H9,ELENCHI!$BG$24:$CB$123,18,FALSE)&amp;Z9&amp;VLOOKUP($H9,ELENCHI!$BG$24:$CB$123,19,FALSE)&amp;AC9&amp;VLOOKUP($H9,ELENCHI!$BG$24:$CB$123,20,FALSE)&amp;AF9&amp;CHAR(10),I9&amp;IF(IFERROR(FIND(CHAR(10),LEFT(B9,LUNGH),1),0)&gt;0,CHAR(10),""))</f>
        <v/>
      </c>
      <c r="AI9" s="3" t="str">
        <f>IFERROR(FIND("*",AH9)," ")</f>
        <v xml:space="preserve"> </v>
      </c>
      <c r="AJ9" s="3">
        <f>IFERROR(IF(AI9=1,FIND("*",AH9,AI9+1),999),999)</f>
        <v>999</v>
      </c>
      <c r="AK9" s="3">
        <f>IFERROR(FIND(CHAR(10),AH9,2)-1,999)</f>
        <v>999</v>
      </c>
      <c r="AL9" s="114" t="str">
        <f t="shared" ref="AL9:AL19" si="9">IFERROR(LEFT(LEFT(CLEAN(AH9),MIN(AJ9,AK9))&amp;SPAZI,LUNGH),"!!!")</f>
        <v xml:space="preserve">                                                     </v>
      </c>
      <c r="AM9" s="20" t="str">
        <f t="shared" ref="AM9:AM19" si="10">MID(AH9,MIN(AJ9+1,AK9+2,LUNGH+1),1000)</f>
        <v/>
      </c>
      <c r="AN9" s="2">
        <f>A9</f>
        <v>1</v>
      </c>
      <c r="AO9" s="462" t="str">
        <f>IF(AN9&lt;&gt;"",F9,"------  RIGA OCCUPATA DA PRESCRIZIONI TECNICHE ------")</f>
        <v xml:space="preserve">                                                     </v>
      </c>
      <c r="AP9" s="462" t="str">
        <f>AN9&amp;"       "&amp;AO9&amp;CHAR(10)</f>
        <v xml:space="preserve">1                                                            
</v>
      </c>
    </row>
    <row r="10" spans="1:42" x14ac:dyDescent="0.25">
      <c r="A10" s="2">
        <f>IF(NUMRD+(ROW()-ROW($A$8))+SUM(STRINGA!$I$6:$M$6)&lt;=NUMRD*2+NUMRDJ,ROW()-ROW($A$8),"")</f>
        <v>2</v>
      </c>
      <c r="B10" s="14" t="str">
        <f t="shared" si="0"/>
        <v/>
      </c>
      <c r="C10" s="433" t="str">
        <f t="shared" si="1"/>
        <v xml:space="preserve"> </v>
      </c>
      <c r="D10" s="3">
        <f t="shared" ref="D10:D17" si="11">IFERROR(IF(C10=1,FIND("*",B10,C10+1),999),999)</f>
        <v>999</v>
      </c>
      <c r="E10" s="3">
        <f t="shared" si="2"/>
        <v>999</v>
      </c>
      <c r="F10" s="19" t="str">
        <f t="shared" si="3"/>
        <v xml:space="preserve">                                                     </v>
      </c>
      <c r="G10" s="20" t="str">
        <f t="shared" si="4"/>
        <v/>
      </c>
      <c r="H10" s="3">
        <f t="shared" si="5"/>
        <v>0</v>
      </c>
      <c r="I10" s="2" t="str">
        <f t="shared" si="6"/>
        <v/>
      </c>
      <c r="J10" s="2">
        <f t="shared" si="7"/>
        <v>53</v>
      </c>
      <c r="K10" s="3" t="str">
        <f t="shared" ref="K10:K16" si="12">"0"</f>
        <v>0</v>
      </c>
      <c r="L10" s="2" t="str">
        <f t="shared" ref="L10:P16" si="13">IF(LEFT($F10,1)="*",IFERROR(FIND("=",$F10,K10+1),$D10),"")</f>
        <v/>
      </c>
      <c r="M10" s="2" t="str">
        <f t="shared" si="13"/>
        <v/>
      </c>
      <c r="N10" s="2" t="str">
        <f t="shared" si="13"/>
        <v/>
      </c>
      <c r="O10" s="2" t="str">
        <f t="shared" si="13"/>
        <v/>
      </c>
      <c r="P10" s="2" t="str">
        <f t="shared" si="13"/>
        <v/>
      </c>
      <c r="Q10" s="2" t="str">
        <f t="shared" si="8"/>
        <v/>
      </c>
      <c r="R10" s="105" t="str">
        <f>IF(LEFT($H10,6)="*SOSPE"," ",IF(LEFT($F10,1)="*",MID($F10,L10+1,MAX(M10-L10-1,0)),""))</f>
        <v/>
      </c>
      <c r="S10" s="105" t="str">
        <f>IF(LEFT($F10,1)="*",IF(VLOOKUP($H10,ELENCHI!$BG$24:$BO$123,5,FALSE)=LEN(R10),0,1),"")</f>
        <v/>
      </c>
      <c r="T10" s="105" t="str">
        <f>IF(S10=0,IFERROR(LEFT(R10,VLOOKUP($H10,ELENCHI!$BG$24:$CB$123,5,FALSE)-VLOOKUP($H10,ELENCHI!$BG$24:$CB$123,10,FALSE))&amp;IF(VLOOKUP($H10,ELENCHI!$BG$24:$CB$123,10,FALSE)=0,"",",")&amp;RIGHT(R10,VLOOKUP($H10,ELENCHI!$BG$24:$CB$123,10,FALSE)),""),"!!!")</f>
        <v>!!!</v>
      </c>
      <c r="U10" s="2" t="str">
        <f t="shared" ref="U10:U16" si="14">IF(LEFT($F10,1)="*",MID($F10,M10+1,MAX(N10-M10-1,0)),"")</f>
        <v/>
      </c>
      <c r="V10" s="2" t="str">
        <f>IF(LEFT($F10,1)="*",IF(VLOOKUP($H10,ELENCHI!$BG$24:$BO$123,6,FALSE)=LEN(U10),0,1),"")</f>
        <v/>
      </c>
      <c r="W10" s="2" t="str">
        <f>IF(V10=0,IFERROR(LEFT(U10,VLOOKUP($H10,ELENCHI!$BG$24:$CB$123,6,FALSE)-VLOOKUP($H10,ELENCHI!$BG$24:$CB$123,11,FALSE))&amp;IF(VLOOKUP($H10,ELENCHI!$BG$24:$CB$123,11,FALSE)=0,"",",")&amp;RIGHT(U10,VLOOKUP($H10,ELENCHI!$BG$24:$CB$123,11,FALSE)),""),"!!!")</f>
        <v>!!!</v>
      </c>
      <c r="X10" s="105" t="str">
        <f t="shared" ref="X10:X16" si="15">IF(LEFT($F10,1)="*",MID($F10,N10+1,MAX(O10-N10-1,0)),"")</f>
        <v/>
      </c>
      <c r="Y10" s="105" t="str">
        <f>IF(LEFT($F10,1)="*",IF(VLOOKUP($H10,ELENCHI!$BG$24:$BO$123,7,FALSE)=LEN(X10),0,1),"")</f>
        <v/>
      </c>
      <c r="Z10" s="105" t="str">
        <f>IF(Y10=0,IFERROR(LEFT(X10,VLOOKUP($H10,ELENCHI!$BG$24:$CB$123,7,FALSE)-VLOOKUP($H10,ELENCHI!$BG$24:$CB$123,12,FALSE))&amp;IF(VLOOKUP($H10,ELENCHI!$BG$24:$CB$123,12,FALSE)=0,"",",")&amp;RIGHT(X10,VLOOKUP($H10,ELENCHI!$BG$24:$CB$123,12,FALSE)),""),"!!!")</f>
        <v>!!!</v>
      </c>
      <c r="AA10" s="113" t="str">
        <f t="shared" ref="AA10:AA16" si="16">IF(LEFT($F10,1)="*",MID($F10,O10+1,MAX(P10-O10-1,0)),"")</f>
        <v/>
      </c>
      <c r="AB10" s="113" t="str">
        <f>IF(LEFT($F10,1)="*",IF(VLOOKUP($H10,ELENCHI!$BG$24:$BO$123,8,FALSE)=LEN(AA10),0,1),"")</f>
        <v/>
      </c>
      <c r="AC10" s="113" t="str">
        <f>IF(AB10=0,IFERROR(LEFT(AA10,VLOOKUP($H10,ELENCHI!$BG$24:$CB$123,8,FALSE)-VLOOKUP($H10,ELENCHI!$BG$24:$CB$123,13,FALSE))&amp;IF(VLOOKUP($H10,ELENCHI!$BG$24:$CB$123,13,FALSE)=0,"",",")&amp;RIGHT(AA10,VLOOKUP($H10,ELENCHI!$BG$24:$CB$123,13,FALSE)),""),"!!!")</f>
        <v>!!!</v>
      </c>
      <c r="AD10" s="105" t="str">
        <f t="shared" ref="AD10:AD16" si="17">IF(LEFT($F10,1)="*",MID($F10,P10+1,MAX(Q10-P10-1,0)),"")</f>
        <v/>
      </c>
      <c r="AE10" s="105" t="str">
        <f>IF(LEFT($F10,1)="*",IF(VLOOKUP($H10,ELENCHI!$BG$24:$BO$123,9,FALSE)=LEN(AD10),0,1),"")</f>
        <v/>
      </c>
      <c r="AF10" s="105" t="str">
        <f>IF(AE10=0,IFERROR(LEFT(AD10,VLOOKUP($H10,ELENCHI!$BG$24:$CB$123,9,FALSE)-VLOOKUP($H10,ELENCHI!$BG$24:$CB$123,14,FALSE))&amp;IF(VLOOKUP($H10,ELENCHI!$BG$24:$CB$123,14,FALSE)=0,"",",")&amp;RIGHT(AD10,VLOOKUP($H10,ELENCHI!$BG$24:$CB$123,14,FALSE)),""),"!!!")</f>
        <v>!!!</v>
      </c>
      <c r="AG10" s="117">
        <f t="shared" ref="AG10:AG16" si="18">SUM(S10,V10,Y10,AB10,AE10)</f>
        <v>0</v>
      </c>
      <c r="AH10" s="2" t="str">
        <f>AM9&amp;IF(H10&lt;&gt;0,VLOOKUP($H10,ELENCHI!$BG$24:$CB$123,16,FALSE)&amp;T10&amp;VLOOKUP($H10,ELENCHI!$BG$24:$CB$123,17,FALSE)&amp;W10&amp;VLOOKUP($H10,ELENCHI!$BG$24:$CB$123,18,FALSE)&amp;Z10&amp;VLOOKUP($H10,ELENCHI!$BG$24:$CB$123,19,FALSE)&amp;AC10&amp;VLOOKUP($H10,ELENCHI!$BG$24:$CB$123,20,FALSE)&amp;AF10&amp;CHAR(10),I10&amp;IF(IFERROR(FIND(CHAR(10),LEFT(B10,LUNGH),1),0)&gt;0,CHAR(10),""))</f>
        <v/>
      </c>
      <c r="AI10" s="3" t="str">
        <f t="shared" ref="AI10:AI19" si="19">IFERROR(FIND("*",AH10)," ")</f>
        <v xml:space="preserve"> </v>
      </c>
      <c r="AJ10" s="3">
        <f t="shared" ref="AJ10:AJ19" si="20">IFERROR(IF(AI10=1,FIND("*",AH10,AI10+1),999),999)</f>
        <v>999</v>
      </c>
      <c r="AK10" s="3">
        <f t="shared" ref="AK10:AK19" si="21">IFERROR(FIND(CHAR(10),AH10,2)-1,999)</f>
        <v>999</v>
      </c>
      <c r="AL10" s="114" t="str">
        <f t="shared" si="9"/>
        <v xml:space="preserve">                                                     </v>
      </c>
      <c r="AM10" s="20" t="str">
        <f t="shared" si="10"/>
        <v/>
      </c>
      <c r="AN10" s="2">
        <f t="shared" ref="AN10:AN16" si="22">A10</f>
        <v>2</v>
      </c>
      <c r="AO10" s="462" t="str">
        <f t="shared" ref="AO10:AO16" si="23">IF(AN10&lt;&gt;"",F10,"------  RIGA OCCUPATA DA PRESCRIZIONI TECNICHE ------")</f>
        <v xml:space="preserve">                                                     </v>
      </c>
      <c r="AP10" s="462" t="str">
        <f t="shared" ref="AP10:AP16" si="24">AN10&amp;"       "&amp;AO10&amp;CHAR(10)</f>
        <v xml:space="preserve">2                                                            
</v>
      </c>
    </row>
    <row r="11" spans="1:42" x14ac:dyDescent="0.25">
      <c r="A11" s="2">
        <f>IF(NUMRD+(ROW()-ROW($A$8))+SUM(STRINGA!$I$6:$M$6)&lt;=NUMRD*2+NUMRDJ,ROW()-ROW($A$8),"")</f>
        <v>3</v>
      </c>
      <c r="B11" s="14" t="str">
        <f t="shared" si="0"/>
        <v/>
      </c>
      <c r="C11" s="433" t="str">
        <f t="shared" si="1"/>
        <v xml:space="preserve"> </v>
      </c>
      <c r="D11" s="3">
        <f t="shared" si="11"/>
        <v>999</v>
      </c>
      <c r="E11" s="3">
        <f t="shared" si="2"/>
        <v>999</v>
      </c>
      <c r="F11" s="19" t="str">
        <f t="shared" si="3"/>
        <v xml:space="preserve">                                                     </v>
      </c>
      <c r="G11" s="20" t="str">
        <f t="shared" si="4"/>
        <v/>
      </c>
      <c r="H11" s="3">
        <f t="shared" si="5"/>
        <v>0</v>
      </c>
      <c r="I11" s="2" t="str">
        <f t="shared" si="6"/>
        <v/>
      </c>
      <c r="J11" s="2">
        <f t="shared" si="7"/>
        <v>53</v>
      </c>
      <c r="K11" s="3" t="str">
        <f t="shared" si="12"/>
        <v>0</v>
      </c>
      <c r="L11" s="2" t="str">
        <f t="shared" si="13"/>
        <v/>
      </c>
      <c r="M11" s="2" t="str">
        <f t="shared" si="13"/>
        <v/>
      </c>
      <c r="N11" s="2" t="str">
        <f t="shared" si="13"/>
        <v/>
      </c>
      <c r="O11" s="2" t="str">
        <f t="shared" si="13"/>
        <v/>
      </c>
      <c r="P11" s="2" t="str">
        <f t="shared" si="13"/>
        <v/>
      </c>
      <c r="Q11" s="2" t="str">
        <f t="shared" si="8"/>
        <v/>
      </c>
      <c r="R11" s="105" t="str">
        <f t="shared" ref="R11:R16" si="25">IF(LEFT($H11,6)="*SOSPE"," ",IF(LEFT($F11,1)="*",MID($F11,L11+1,MAX(M11-L11-1,0)),""))</f>
        <v/>
      </c>
      <c r="S11" s="105" t="str">
        <f>IF(LEFT($F11,1)="*",IF(VLOOKUP($H11,ELENCHI!$BG$24:$BO$123,5,FALSE)=LEN(R11),0,1),"")</f>
        <v/>
      </c>
      <c r="T11" s="105" t="str">
        <f>IF(S11=0,IFERROR(LEFT(R11,VLOOKUP($H11,ELENCHI!$BG$24:$CB$123,5,FALSE)-VLOOKUP($H11,ELENCHI!$BG$24:$CB$123,10,FALSE))&amp;IF(VLOOKUP($H11,ELENCHI!$BG$24:$CB$123,10,FALSE)=0,"",",")&amp;RIGHT(R11,VLOOKUP($H11,ELENCHI!$BG$24:$CB$123,10,FALSE)),""),"!!!")</f>
        <v>!!!</v>
      </c>
      <c r="U11" s="2" t="str">
        <f t="shared" si="14"/>
        <v/>
      </c>
      <c r="V11" s="2" t="str">
        <f>IF(LEFT($F11,1)="*",IF(VLOOKUP($H11,ELENCHI!$BG$24:$BO$123,6,FALSE)=LEN(U11),0,1),"")</f>
        <v/>
      </c>
      <c r="W11" s="2" t="str">
        <f>IF(V11=0,IFERROR(LEFT(U11,VLOOKUP($H11,ELENCHI!$BG$24:$CB$123,6,FALSE)-VLOOKUP($H11,ELENCHI!$BG$24:$CB$123,11,FALSE))&amp;IF(VLOOKUP($H11,ELENCHI!$BG$24:$CB$123,11,FALSE)=0,"",",")&amp;RIGHT(U11,VLOOKUP($H11,ELENCHI!$BG$24:$CB$123,11,FALSE)),""),"!!!")</f>
        <v>!!!</v>
      </c>
      <c r="X11" s="105" t="str">
        <f t="shared" si="15"/>
        <v/>
      </c>
      <c r="Y11" s="105" t="str">
        <f>IF(LEFT($F11,1)="*",IF(VLOOKUP($H11,ELENCHI!$BG$24:$BO$123,7,FALSE)=LEN(X11),0,1),"")</f>
        <v/>
      </c>
      <c r="Z11" s="105" t="str">
        <f>IF(Y11=0,IFERROR(LEFT(X11,VLOOKUP($H11,ELENCHI!$BG$24:$CB$123,7,FALSE)-VLOOKUP($H11,ELENCHI!$BG$24:$CB$123,12,FALSE))&amp;IF(VLOOKUP($H11,ELENCHI!$BG$24:$CB$123,12,FALSE)=0,"",",")&amp;RIGHT(X11,VLOOKUP($H11,ELENCHI!$BG$24:$CB$123,12,FALSE)),""),"!!!")</f>
        <v>!!!</v>
      </c>
      <c r="AA11" s="113" t="str">
        <f t="shared" si="16"/>
        <v/>
      </c>
      <c r="AB11" s="113" t="str">
        <f>IF(LEFT($F11,1)="*",IF(VLOOKUP($H11,ELENCHI!$BG$24:$BO$123,8,FALSE)=LEN(AA11),0,1),"")</f>
        <v/>
      </c>
      <c r="AC11" s="113" t="str">
        <f>IF(AB11=0,IFERROR(LEFT(AA11,VLOOKUP($H11,ELENCHI!$BG$24:$CB$123,8,FALSE)-VLOOKUP($H11,ELENCHI!$BG$24:$CB$123,13,FALSE))&amp;IF(VLOOKUP($H11,ELENCHI!$BG$24:$CB$123,13,FALSE)=0,"",",")&amp;RIGHT(AA11,VLOOKUP($H11,ELENCHI!$BG$24:$CB$123,13,FALSE)),""),"!!!")</f>
        <v>!!!</v>
      </c>
      <c r="AD11" s="105" t="str">
        <f t="shared" si="17"/>
        <v/>
      </c>
      <c r="AE11" s="105" t="str">
        <f>IF(LEFT($F11,1)="*",IF(VLOOKUP($H11,ELENCHI!$BG$24:$BO$123,9,FALSE)=LEN(AD11),0,1),"")</f>
        <v/>
      </c>
      <c r="AF11" s="105" t="str">
        <f>IF(AE11=0,IFERROR(LEFT(AD11,VLOOKUP($H11,ELENCHI!$BG$24:$CB$123,9,FALSE)-VLOOKUP($H11,ELENCHI!$BG$24:$CB$123,14,FALSE))&amp;IF(VLOOKUP($H11,ELENCHI!$BG$24:$CB$123,14,FALSE)=0,"",",")&amp;RIGHT(AD11,VLOOKUP($H11,ELENCHI!$BG$24:$CB$123,14,FALSE)),""),"!!!")</f>
        <v>!!!</v>
      </c>
      <c r="AG11" s="117">
        <f t="shared" si="18"/>
        <v>0</v>
      </c>
      <c r="AH11" s="2" t="str">
        <f>AM10&amp;IF(H11&lt;&gt;0,VLOOKUP($H11,ELENCHI!$BG$24:$CB$123,16,FALSE)&amp;T11&amp;VLOOKUP($H11,ELENCHI!$BG$24:$CB$123,17,FALSE)&amp;W11&amp;VLOOKUP($H11,ELENCHI!$BG$24:$CB$123,18,FALSE)&amp;Z11&amp;VLOOKUP($H11,ELENCHI!$BG$24:$CB$123,19,FALSE)&amp;AC11&amp;VLOOKUP($H11,ELENCHI!$BG$24:$CB$123,20,FALSE)&amp;AF11&amp;CHAR(10),I11&amp;IF(IFERROR(FIND(CHAR(10),LEFT(B11,LUNGH),1),0)&gt;0,CHAR(10),""))</f>
        <v/>
      </c>
      <c r="AI11" s="3" t="str">
        <f t="shared" si="19"/>
        <v xml:space="preserve"> </v>
      </c>
      <c r="AJ11" s="3">
        <f t="shared" si="20"/>
        <v>999</v>
      </c>
      <c r="AK11" s="3">
        <f t="shared" si="21"/>
        <v>999</v>
      </c>
      <c r="AL11" s="114" t="str">
        <f t="shared" si="9"/>
        <v xml:space="preserve">                                                     </v>
      </c>
      <c r="AM11" s="20" t="str">
        <f t="shared" si="10"/>
        <v/>
      </c>
      <c r="AN11" s="2">
        <f t="shared" si="22"/>
        <v>3</v>
      </c>
      <c r="AO11" s="462" t="str">
        <f t="shared" si="23"/>
        <v xml:space="preserve">                                                     </v>
      </c>
      <c r="AP11" s="462" t="str">
        <f t="shared" si="24"/>
        <v xml:space="preserve">3                                                            
</v>
      </c>
    </row>
    <row r="12" spans="1:42" x14ac:dyDescent="0.25">
      <c r="A12" s="2">
        <f>IF(NUMRD+(ROW()-ROW($A$8))+SUM(STRINGA!$I$6:$M$6)&lt;=NUMRD*2+NUMRDJ,ROW()-ROW($A$8),"")</f>
        <v>4</v>
      </c>
      <c r="B12" s="14" t="str">
        <f t="shared" si="0"/>
        <v/>
      </c>
      <c r="C12" s="433" t="str">
        <f t="shared" si="1"/>
        <v xml:space="preserve"> </v>
      </c>
      <c r="D12" s="3">
        <f t="shared" si="11"/>
        <v>999</v>
      </c>
      <c r="E12" s="3">
        <f t="shared" si="2"/>
        <v>999</v>
      </c>
      <c r="F12" s="19" t="str">
        <f t="shared" si="3"/>
        <v xml:space="preserve">                                                     </v>
      </c>
      <c r="G12" s="20" t="str">
        <f t="shared" si="4"/>
        <v/>
      </c>
      <c r="H12" s="3">
        <f t="shared" si="5"/>
        <v>0</v>
      </c>
      <c r="I12" s="2" t="str">
        <f t="shared" si="6"/>
        <v/>
      </c>
      <c r="J12" s="2">
        <f t="shared" si="7"/>
        <v>53</v>
      </c>
      <c r="K12" s="3" t="str">
        <f t="shared" si="12"/>
        <v>0</v>
      </c>
      <c r="L12" s="2" t="str">
        <f t="shared" si="13"/>
        <v/>
      </c>
      <c r="M12" s="2" t="str">
        <f t="shared" si="13"/>
        <v/>
      </c>
      <c r="N12" s="2" t="str">
        <f t="shared" si="13"/>
        <v/>
      </c>
      <c r="O12" s="2" t="str">
        <f t="shared" si="13"/>
        <v/>
      </c>
      <c r="P12" s="2" t="str">
        <f t="shared" si="13"/>
        <v/>
      </c>
      <c r="Q12" s="2" t="str">
        <f t="shared" si="8"/>
        <v/>
      </c>
      <c r="R12" s="105" t="str">
        <f t="shared" si="25"/>
        <v/>
      </c>
      <c r="S12" s="105" t="str">
        <f>IF(LEFT($F12,1)="*",IF(VLOOKUP($H12,ELENCHI!$BG$24:$BO$123,5,FALSE)=LEN(R12),0,1),"")</f>
        <v/>
      </c>
      <c r="T12" s="105" t="str">
        <f>IF(S12=0,IFERROR(LEFT(R12,VLOOKUP($H12,ELENCHI!$BG$24:$CB$123,5,FALSE)-VLOOKUP($H12,ELENCHI!$BG$24:$CB$123,10,FALSE))&amp;IF(VLOOKUP($H12,ELENCHI!$BG$24:$CB$123,10,FALSE)=0,"",",")&amp;RIGHT(R12,VLOOKUP($H12,ELENCHI!$BG$24:$CB$123,10,FALSE)),""),"!!!")</f>
        <v>!!!</v>
      </c>
      <c r="U12" s="2" t="str">
        <f t="shared" si="14"/>
        <v/>
      </c>
      <c r="V12" s="2" t="str">
        <f>IF(LEFT($F12,1)="*",IF(VLOOKUP($H12,ELENCHI!$BG$24:$BO$123,6,FALSE)=LEN(U12),0,1),"")</f>
        <v/>
      </c>
      <c r="W12" s="2" t="str">
        <f>IF(V12=0,IFERROR(LEFT(U12,VLOOKUP($H12,ELENCHI!$BG$24:$CB$123,6,FALSE)-VLOOKUP($H12,ELENCHI!$BG$24:$CB$123,11,FALSE))&amp;IF(VLOOKUP($H12,ELENCHI!$BG$24:$CB$123,11,FALSE)=0,"",",")&amp;RIGHT(U12,VLOOKUP($H12,ELENCHI!$BG$24:$CB$123,11,FALSE)),""),"!!!")</f>
        <v>!!!</v>
      </c>
      <c r="X12" s="105" t="str">
        <f t="shared" si="15"/>
        <v/>
      </c>
      <c r="Y12" s="105" t="str">
        <f>IF(LEFT($F12,1)="*",IF(VLOOKUP($H12,ELENCHI!$BG$24:$BO$123,7,FALSE)=LEN(X12),0,1),"")</f>
        <v/>
      </c>
      <c r="Z12" s="105" t="str">
        <f>IF(Y12=0,IFERROR(LEFT(X12,VLOOKUP($H12,ELENCHI!$BG$24:$CB$123,7,FALSE)-VLOOKUP($H12,ELENCHI!$BG$24:$CB$123,12,FALSE))&amp;IF(VLOOKUP($H12,ELENCHI!$BG$24:$CB$123,12,FALSE)=0,"",",")&amp;RIGHT(X12,VLOOKUP($H12,ELENCHI!$BG$24:$CB$123,12,FALSE)),""),"!!!")</f>
        <v>!!!</v>
      </c>
      <c r="AA12" s="113" t="str">
        <f t="shared" si="16"/>
        <v/>
      </c>
      <c r="AB12" s="113" t="str">
        <f>IF(LEFT($F12,1)="*",IF(VLOOKUP($H12,ELENCHI!$BG$24:$BO$123,8,FALSE)=LEN(AA12),0,1),"")</f>
        <v/>
      </c>
      <c r="AC12" s="113" t="str">
        <f>IF(AB12=0,IFERROR(LEFT(AA12,VLOOKUP($H12,ELENCHI!$BG$24:$CB$123,8,FALSE)-VLOOKUP($H12,ELENCHI!$BG$24:$CB$123,13,FALSE))&amp;IF(VLOOKUP($H12,ELENCHI!$BG$24:$CB$123,13,FALSE)=0,"",",")&amp;RIGHT(AA12,VLOOKUP($H12,ELENCHI!$BG$24:$CB$123,13,FALSE)),""),"!!!")</f>
        <v>!!!</v>
      </c>
      <c r="AD12" s="105" t="str">
        <f t="shared" si="17"/>
        <v/>
      </c>
      <c r="AE12" s="105" t="str">
        <f>IF(LEFT($F12,1)="*",IF(VLOOKUP($H12,ELENCHI!$BG$24:$BO$123,9,FALSE)=LEN(AD12),0,1),"")</f>
        <v/>
      </c>
      <c r="AF12" s="105" t="str">
        <f>IF(AE12=0,IFERROR(LEFT(AD12,VLOOKUP($H12,ELENCHI!$BG$24:$CB$123,9,FALSE)-VLOOKUP($H12,ELENCHI!$BG$24:$CB$123,14,FALSE))&amp;IF(VLOOKUP($H12,ELENCHI!$BG$24:$CB$123,14,FALSE)=0,"",",")&amp;RIGHT(AD12,VLOOKUP($H12,ELENCHI!$BG$24:$CB$123,14,FALSE)),""),"!!!")</f>
        <v>!!!</v>
      </c>
      <c r="AG12" s="117">
        <f t="shared" si="18"/>
        <v>0</v>
      </c>
      <c r="AH12" s="2" t="str">
        <f>AM11&amp;IF(H12&lt;&gt;0,VLOOKUP($H12,ELENCHI!$BG$24:$CB$123,16,FALSE)&amp;T12&amp;VLOOKUP($H12,ELENCHI!$BG$24:$CB$123,17,FALSE)&amp;W12&amp;VLOOKUP($H12,ELENCHI!$BG$24:$CB$123,18,FALSE)&amp;Z12&amp;VLOOKUP($H12,ELENCHI!$BG$24:$CB$123,19,FALSE)&amp;AC12&amp;VLOOKUP($H12,ELENCHI!$BG$24:$CB$123,20,FALSE)&amp;AF12&amp;CHAR(10),I12&amp;IF(IFERROR(FIND(CHAR(10),LEFT(B12,LUNGH),1),0)&gt;0,CHAR(10),""))</f>
        <v/>
      </c>
      <c r="AI12" s="3" t="str">
        <f t="shared" si="19"/>
        <v xml:space="preserve"> </v>
      </c>
      <c r="AJ12" s="3">
        <f t="shared" si="20"/>
        <v>999</v>
      </c>
      <c r="AK12" s="3">
        <f t="shared" si="21"/>
        <v>999</v>
      </c>
      <c r="AL12" s="114" t="str">
        <f t="shared" si="9"/>
        <v xml:space="preserve">                                                     </v>
      </c>
      <c r="AM12" s="20" t="str">
        <f t="shared" si="10"/>
        <v/>
      </c>
      <c r="AN12" s="2">
        <f t="shared" si="22"/>
        <v>4</v>
      </c>
      <c r="AO12" s="462" t="str">
        <f t="shared" si="23"/>
        <v xml:space="preserve">                                                     </v>
      </c>
      <c r="AP12" s="462" t="str">
        <f t="shared" si="24"/>
        <v xml:space="preserve">4                                                            
</v>
      </c>
    </row>
    <row r="13" spans="1:42" x14ac:dyDescent="0.25">
      <c r="A13" s="2">
        <f>IF(NUMRD+(ROW()-ROW($A$8))+SUM(STRINGA!$I$6:$M$6)&lt;=NUMRD*2+NUMRDJ,ROW()-ROW($A$8),"")</f>
        <v>5</v>
      </c>
      <c r="B13" s="14" t="str">
        <f t="shared" si="0"/>
        <v/>
      </c>
      <c r="C13" s="433" t="str">
        <f t="shared" si="1"/>
        <v xml:space="preserve"> </v>
      </c>
      <c r="D13" s="3">
        <f t="shared" si="11"/>
        <v>999</v>
      </c>
      <c r="E13" s="3">
        <f t="shared" si="2"/>
        <v>999</v>
      </c>
      <c r="F13" s="19" t="str">
        <f t="shared" si="3"/>
        <v xml:space="preserve">                                                     </v>
      </c>
      <c r="G13" s="20" t="str">
        <f t="shared" si="4"/>
        <v/>
      </c>
      <c r="H13" s="3">
        <f t="shared" si="5"/>
        <v>0</v>
      </c>
      <c r="I13" s="2" t="str">
        <f t="shared" si="6"/>
        <v/>
      </c>
      <c r="J13" s="2">
        <f t="shared" si="7"/>
        <v>53</v>
      </c>
      <c r="K13" s="3" t="str">
        <f t="shared" si="12"/>
        <v>0</v>
      </c>
      <c r="L13" s="2" t="str">
        <f t="shared" si="13"/>
        <v/>
      </c>
      <c r="M13" s="2" t="str">
        <f t="shared" si="13"/>
        <v/>
      </c>
      <c r="N13" s="2" t="str">
        <f t="shared" si="13"/>
        <v/>
      </c>
      <c r="O13" s="2" t="str">
        <f t="shared" si="13"/>
        <v/>
      </c>
      <c r="P13" s="2" t="str">
        <f t="shared" si="13"/>
        <v/>
      </c>
      <c r="Q13" s="2" t="str">
        <f t="shared" si="8"/>
        <v/>
      </c>
      <c r="R13" s="105" t="str">
        <f t="shared" si="25"/>
        <v/>
      </c>
      <c r="S13" s="105" t="str">
        <f>IF(LEFT($F13,1)="*",IF(VLOOKUP($H13,ELENCHI!$BG$24:$BO$123,5,FALSE)=LEN(R13),0,1),"")</f>
        <v/>
      </c>
      <c r="T13" s="105" t="str">
        <f>IF(S13=0,IFERROR(LEFT(R13,VLOOKUP($H13,ELENCHI!$BG$24:$CB$123,5,FALSE)-VLOOKUP($H13,ELENCHI!$BG$24:$CB$123,10,FALSE))&amp;IF(VLOOKUP($H13,ELENCHI!$BG$24:$CB$123,10,FALSE)=0,"",",")&amp;RIGHT(R13,VLOOKUP($H13,ELENCHI!$BG$24:$CB$123,10,FALSE)),""),"!!!")</f>
        <v>!!!</v>
      </c>
      <c r="U13" s="2" t="str">
        <f t="shared" si="14"/>
        <v/>
      </c>
      <c r="V13" s="2" t="str">
        <f>IF(LEFT($F13,1)="*",IF(VLOOKUP($H13,ELENCHI!$BG$24:$BO$123,6,FALSE)=LEN(U13),0,1),"")</f>
        <v/>
      </c>
      <c r="W13" s="2" t="str">
        <f>IF(V13=0,IFERROR(LEFT(U13,VLOOKUP($H13,ELENCHI!$BG$24:$CB$123,6,FALSE)-VLOOKUP($H13,ELENCHI!$BG$24:$CB$123,11,FALSE))&amp;IF(VLOOKUP($H13,ELENCHI!$BG$24:$CB$123,11,FALSE)=0,"",",")&amp;RIGHT(U13,VLOOKUP($H13,ELENCHI!$BG$24:$CB$123,11,FALSE)),""),"!!!")</f>
        <v>!!!</v>
      </c>
      <c r="X13" s="105" t="str">
        <f t="shared" si="15"/>
        <v/>
      </c>
      <c r="Y13" s="105" t="str">
        <f>IF(LEFT($F13,1)="*",IF(VLOOKUP($H13,ELENCHI!$BG$24:$BO$123,7,FALSE)=LEN(X13),0,1),"")</f>
        <v/>
      </c>
      <c r="Z13" s="105" t="str">
        <f>IF(Y13=0,IFERROR(LEFT(X13,VLOOKUP($H13,ELENCHI!$BG$24:$CB$123,7,FALSE)-VLOOKUP($H13,ELENCHI!$BG$24:$CB$123,12,FALSE))&amp;IF(VLOOKUP($H13,ELENCHI!$BG$24:$CB$123,12,FALSE)=0,"",",")&amp;RIGHT(X13,VLOOKUP($H13,ELENCHI!$BG$24:$CB$123,12,FALSE)),""),"!!!")</f>
        <v>!!!</v>
      </c>
      <c r="AA13" s="113" t="str">
        <f t="shared" si="16"/>
        <v/>
      </c>
      <c r="AB13" s="113" t="str">
        <f>IF(LEFT($F13,1)="*",IF(VLOOKUP($H13,ELENCHI!$BG$24:$BO$123,8,FALSE)=LEN(AA13),0,1),"")</f>
        <v/>
      </c>
      <c r="AC13" s="113" t="str">
        <f>IF(AB13=0,IFERROR(LEFT(AA13,VLOOKUP($H13,ELENCHI!$BG$24:$CB$123,8,FALSE)-VLOOKUP($H13,ELENCHI!$BG$24:$CB$123,13,FALSE))&amp;IF(VLOOKUP($H13,ELENCHI!$BG$24:$CB$123,13,FALSE)=0,"",",")&amp;RIGHT(AA13,VLOOKUP($H13,ELENCHI!$BG$24:$CB$123,13,FALSE)),""),"!!!")</f>
        <v>!!!</v>
      </c>
      <c r="AD13" s="105" t="str">
        <f t="shared" si="17"/>
        <v/>
      </c>
      <c r="AE13" s="105" t="str">
        <f>IF(LEFT($F13,1)="*",IF(VLOOKUP($H13,ELENCHI!$BG$24:$BO$123,9,FALSE)=LEN(AD13),0,1),"")</f>
        <v/>
      </c>
      <c r="AF13" s="105" t="str">
        <f>IF(AE13=0,IFERROR(LEFT(AD13,VLOOKUP($H13,ELENCHI!$BG$24:$CB$123,9,FALSE)-VLOOKUP($H13,ELENCHI!$BG$24:$CB$123,14,FALSE))&amp;IF(VLOOKUP($H13,ELENCHI!$BG$24:$CB$123,14,FALSE)=0,"",",")&amp;RIGHT(AD13,VLOOKUP($H13,ELENCHI!$BG$24:$CB$123,14,FALSE)),""),"!!!")</f>
        <v>!!!</v>
      </c>
      <c r="AG13" s="117">
        <f t="shared" si="18"/>
        <v>0</v>
      </c>
      <c r="AH13" s="2" t="str">
        <f>AM12&amp;IF(H13&lt;&gt;0,VLOOKUP($H13,ELENCHI!$BG$24:$CB$123,16,FALSE)&amp;T13&amp;VLOOKUP($H13,ELENCHI!$BG$24:$CB$123,17,FALSE)&amp;W13&amp;VLOOKUP($H13,ELENCHI!$BG$24:$CB$123,18,FALSE)&amp;Z13&amp;VLOOKUP($H13,ELENCHI!$BG$24:$CB$123,19,FALSE)&amp;AC13&amp;VLOOKUP($H13,ELENCHI!$BG$24:$CB$123,20,FALSE)&amp;AF13&amp;CHAR(10),I13&amp;IF(IFERROR(FIND(CHAR(10),LEFT(B13,LUNGH),1),0)&gt;0,CHAR(10),""))</f>
        <v/>
      </c>
      <c r="AI13" s="3" t="str">
        <f t="shared" si="19"/>
        <v xml:space="preserve"> </v>
      </c>
      <c r="AJ13" s="3">
        <f t="shared" si="20"/>
        <v>999</v>
      </c>
      <c r="AK13" s="3">
        <f t="shared" si="21"/>
        <v>999</v>
      </c>
      <c r="AL13" s="114" t="str">
        <f t="shared" si="9"/>
        <v xml:space="preserve">                                                     </v>
      </c>
      <c r="AM13" s="20" t="str">
        <f t="shared" si="10"/>
        <v/>
      </c>
      <c r="AN13" s="2">
        <f t="shared" si="22"/>
        <v>5</v>
      </c>
      <c r="AO13" s="462" t="str">
        <f t="shared" si="23"/>
        <v xml:space="preserve">                                                     </v>
      </c>
      <c r="AP13" s="462" t="str">
        <f t="shared" si="24"/>
        <v xml:space="preserve">5                                                            
</v>
      </c>
    </row>
    <row r="14" spans="1:42" x14ac:dyDescent="0.25">
      <c r="A14" s="2">
        <f>IF(NUMRD+(ROW()-ROW($A$8))+SUM(STRINGA!$I$6:$M$6)&lt;=NUMRD*2+NUMRDJ,ROW()-ROW($A$8),"")</f>
        <v>6</v>
      </c>
      <c r="B14" s="14" t="str">
        <f t="shared" si="0"/>
        <v/>
      </c>
      <c r="C14" s="433" t="str">
        <f t="shared" si="1"/>
        <v xml:space="preserve"> </v>
      </c>
      <c r="D14" s="3">
        <f t="shared" si="11"/>
        <v>999</v>
      </c>
      <c r="E14" s="3">
        <f>IFERROR(FIND(CHAR(10),B14,2)-1-IF(LEFT(B14,1)=CHAR(10),1,0),999)</f>
        <v>999</v>
      </c>
      <c r="F14" s="19" t="str">
        <f t="shared" si="3"/>
        <v xml:space="preserve">                                                     </v>
      </c>
      <c r="G14" s="20" t="str">
        <f t="shared" si="4"/>
        <v/>
      </c>
      <c r="H14" s="3">
        <f t="shared" si="5"/>
        <v>0</v>
      </c>
      <c r="I14" s="2" t="str">
        <f t="shared" si="6"/>
        <v/>
      </c>
      <c r="J14" s="2">
        <f t="shared" si="7"/>
        <v>53</v>
      </c>
      <c r="K14" s="3" t="str">
        <f t="shared" si="12"/>
        <v>0</v>
      </c>
      <c r="L14" s="2" t="str">
        <f t="shared" si="13"/>
        <v/>
      </c>
      <c r="M14" s="2" t="str">
        <f t="shared" si="13"/>
        <v/>
      </c>
      <c r="N14" s="2" t="str">
        <f t="shared" si="13"/>
        <v/>
      </c>
      <c r="O14" s="2" t="str">
        <f t="shared" si="13"/>
        <v/>
      </c>
      <c r="P14" s="2" t="str">
        <f t="shared" si="13"/>
        <v/>
      </c>
      <c r="Q14" s="2" t="str">
        <f t="shared" si="8"/>
        <v/>
      </c>
      <c r="R14" s="105" t="str">
        <f t="shared" si="25"/>
        <v/>
      </c>
      <c r="S14" s="105" t="str">
        <f>IF(LEFT($F14,1)="*",IF(VLOOKUP($H14,ELENCHI!$BG$24:$BO$123,5,FALSE)=LEN(R14),0,1),"")</f>
        <v/>
      </c>
      <c r="T14" s="105" t="str">
        <f>IF(S14=0,IFERROR(LEFT(R14,VLOOKUP($H14,ELENCHI!$BG$24:$CB$123,5,FALSE)-VLOOKUP($H14,ELENCHI!$BG$24:$CB$123,10,FALSE))&amp;IF(VLOOKUP($H14,ELENCHI!$BG$24:$CB$123,10,FALSE)=0,"",",")&amp;RIGHT(R14,VLOOKUP($H14,ELENCHI!$BG$24:$CB$123,10,FALSE)),""),"!!!")</f>
        <v>!!!</v>
      </c>
      <c r="U14" s="2" t="str">
        <f t="shared" si="14"/>
        <v/>
      </c>
      <c r="V14" s="2" t="str">
        <f>IF(LEFT($F14,1)="*",IF(VLOOKUP($H14,ELENCHI!$BG$24:$BO$123,6,FALSE)=LEN(U14),0,1),"")</f>
        <v/>
      </c>
      <c r="W14" s="2" t="str">
        <f>IF(V14=0,IFERROR(LEFT(U14,VLOOKUP($H14,ELENCHI!$BG$24:$CB$123,6,FALSE)-VLOOKUP($H14,ELENCHI!$BG$24:$CB$123,11,FALSE))&amp;IF(VLOOKUP($H14,ELENCHI!$BG$24:$CB$123,11,FALSE)=0,"",",")&amp;RIGHT(U14,VLOOKUP($H14,ELENCHI!$BG$24:$CB$123,11,FALSE)),""),"!!!")</f>
        <v>!!!</v>
      </c>
      <c r="X14" s="105" t="str">
        <f t="shared" si="15"/>
        <v/>
      </c>
      <c r="Y14" s="105" t="str">
        <f>IF(LEFT($F14,1)="*",IF(VLOOKUP($H14,ELENCHI!$BG$24:$BO$123,7,FALSE)=LEN(X14),0,1),"")</f>
        <v/>
      </c>
      <c r="Z14" s="105" t="str">
        <f>IF(Y14=0,IFERROR(LEFT(X14,VLOOKUP($H14,ELENCHI!$BG$24:$CB$123,7,FALSE)-VLOOKUP($H14,ELENCHI!$BG$24:$CB$123,12,FALSE))&amp;IF(VLOOKUP($H14,ELENCHI!$BG$24:$CB$123,12,FALSE)=0,"",",")&amp;RIGHT(X14,VLOOKUP($H14,ELENCHI!$BG$24:$CB$123,12,FALSE)),""),"!!!")</f>
        <v>!!!</v>
      </c>
      <c r="AA14" s="113" t="str">
        <f t="shared" si="16"/>
        <v/>
      </c>
      <c r="AB14" s="113" t="str">
        <f>IF(LEFT($F14,1)="*",IF(VLOOKUP($H14,ELENCHI!$BG$24:$BO$123,8,FALSE)=LEN(AA14),0,1),"")</f>
        <v/>
      </c>
      <c r="AC14" s="113" t="str">
        <f>IF(AB14=0,IFERROR(LEFT(AA14,VLOOKUP($H14,ELENCHI!$BG$24:$CB$123,8,FALSE)-VLOOKUP($H14,ELENCHI!$BG$24:$CB$123,13,FALSE))&amp;IF(VLOOKUP($H14,ELENCHI!$BG$24:$CB$123,13,FALSE)=0,"",",")&amp;RIGHT(AA14,VLOOKUP($H14,ELENCHI!$BG$24:$CB$123,13,FALSE)),""),"!!!")</f>
        <v>!!!</v>
      </c>
      <c r="AD14" s="105" t="str">
        <f t="shared" si="17"/>
        <v/>
      </c>
      <c r="AE14" s="105" t="str">
        <f>IF(LEFT($F14,1)="*",IF(VLOOKUP($H14,ELENCHI!$BG$24:$BO$123,9,FALSE)=LEN(AD14),0,1),"")</f>
        <v/>
      </c>
      <c r="AF14" s="105" t="str">
        <f>IF(AE14=0,IFERROR(LEFT(AD14,VLOOKUP($H14,ELENCHI!$BG$24:$CB$123,9,FALSE)-VLOOKUP($H14,ELENCHI!$BG$24:$CB$123,14,FALSE))&amp;IF(VLOOKUP($H14,ELENCHI!$BG$24:$CB$123,14,FALSE)=0,"",",")&amp;RIGHT(AD14,VLOOKUP($H14,ELENCHI!$BG$24:$CB$123,14,FALSE)),""),"!!!")</f>
        <v>!!!</v>
      </c>
      <c r="AG14" s="117">
        <f t="shared" si="18"/>
        <v>0</v>
      </c>
      <c r="AH14" s="2" t="str">
        <f>AM13&amp;IF(H14&lt;&gt;0,VLOOKUP($H14,ELENCHI!$BG$24:$CB$123,16,FALSE)&amp;T14&amp;VLOOKUP($H14,ELENCHI!$BG$24:$CB$123,17,FALSE)&amp;W14&amp;VLOOKUP($H14,ELENCHI!$BG$24:$CB$123,18,FALSE)&amp;Z14&amp;VLOOKUP($H14,ELENCHI!$BG$24:$CB$123,19,FALSE)&amp;AC14&amp;VLOOKUP($H14,ELENCHI!$BG$24:$CB$123,20,FALSE)&amp;AF14&amp;CHAR(10),I14&amp;IF(IFERROR(FIND(CHAR(10),LEFT(B14,LUNGH),1),0)&gt;0,CHAR(10),""))</f>
        <v/>
      </c>
      <c r="AI14" s="3" t="str">
        <f t="shared" si="19"/>
        <v xml:space="preserve"> </v>
      </c>
      <c r="AJ14" s="3">
        <f t="shared" si="20"/>
        <v>999</v>
      </c>
      <c r="AK14" s="3">
        <f t="shared" si="21"/>
        <v>999</v>
      </c>
      <c r="AL14" s="114" t="str">
        <f t="shared" si="9"/>
        <v xml:space="preserve">                                                     </v>
      </c>
      <c r="AM14" s="20" t="str">
        <f t="shared" si="10"/>
        <v/>
      </c>
      <c r="AN14" s="2">
        <f t="shared" si="22"/>
        <v>6</v>
      </c>
      <c r="AO14" s="462" t="str">
        <f t="shared" si="23"/>
        <v xml:space="preserve">                                                     </v>
      </c>
      <c r="AP14" s="462" t="str">
        <f t="shared" si="24"/>
        <v xml:space="preserve">6                                                            
</v>
      </c>
    </row>
    <row r="15" spans="1:42" x14ac:dyDescent="0.25">
      <c r="A15" s="2">
        <f>IF(NUMRD+(ROW()-ROW($A$8))+SUM(STRINGA!$I$6:$M$6)&lt;=NUMRD*2+NUMRDJ,ROW()-ROW($A$8),"")</f>
        <v>7</v>
      </c>
      <c r="B15" s="14" t="str">
        <f t="shared" si="0"/>
        <v/>
      </c>
      <c r="C15" s="433" t="str">
        <f t="shared" si="1"/>
        <v xml:space="preserve"> </v>
      </c>
      <c r="D15" s="3">
        <f t="shared" si="11"/>
        <v>999</v>
      </c>
      <c r="E15" s="3">
        <f t="shared" ref="E15:E17" si="26">IFERROR(FIND(CHAR(10),B15,2)-1-IF(LEFT(B15,1)=CHAR(10),1,0),999)</f>
        <v>999</v>
      </c>
      <c r="F15" s="19" t="str">
        <f t="shared" si="3"/>
        <v xml:space="preserve">                                                     </v>
      </c>
      <c r="G15" s="20" t="str">
        <f t="shared" si="4"/>
        <v/>
      </c>
      <c r="H15" s="3">
        <f t="shared" si="5"/>
        <v>0</v>
      </c>
      <c r="I15" s="2" t="str">
        <f t="shared" si="6"/>
        <v/>
      </c>
      <c r="J15" s="2">
        <f t="shared" si="7"/>
        <v>53</v>
      </c>
      <c r="K15" s="3" t="str">
        <f t="shared" si="12"/>
        <v>0</v>
      </c>
      <c r="L15" s="2" t="str">
        <f t="shared" si="13"/>
        <v/>
      </c>
      <c r="M15" s="2" t="str">
        <f t="shared" si="13"/>
        <v/>
      </c>
      <c r="N15" s="2" t="str">
        <f t="shared" si="13"/>
        <v/>
      </c>
      <c r="O15" s="2" t="str">
        <f t="shared" si="13"/>
        <v/>
      </c>
      <c r="P15" s="2" t="str">
        <f t="shared" si="13"/>
        <v/>
      </c>
      <c r="Q15" s="2" t="str">
        <f t="shared" si="8"/>
        <v/>
      </c>
      <c r="R15" s="105" t="str">
        <f t="shared" si="25"/>
        <v/>
      </c>
      <c r="S15" s="105" t="str">
        <f>IF(LEFT($F15,1)="*",IF(VLOOKUP($H15,ELENCHI!$BG$24:$BO$123,5,FALSE)=LEN(R15),0,1),"")</f>
        <v/>
      </c>
      <c r="T15" s="105" t="str">
        <f>IF(S15=0,IFERROR(LEFT(R15,VLOOKUP($H15,ELENCHI!$BG$24:$CB$123,5,FALSE)-VLOOKUP($H15,ELENCHI!$BG$24:$CB$123,10,FALSE))&amp;IF(VLOOKUP($H15,ELENCHI!$BG$24:$CB$123,10,FALSE)=0,"",",")&amp;RIGHT(R15,VLOOKUP($H15,ELENCHI!$BG$24:$CB$123,10,FALSE)),""),"!!!")</f>
        <v>!!!</v>
      </c>
      <c r="U15" s="2" t="str">
        <f t="shared" si="14"/>
        <v/>
      </c>
      <c r="V15" s="2" t="str">
        <f>IF(LEFT($F15,1)="*",IF(VLOOKUP($H15,ELENCHI!$BG$24:$BO$123,6,FALSE)=LEN(U15),0,1),"")</f>
        <v/>
      </c>
      <c r="W15" s="2" t="str">
        <f>IF(V15=0,IFERROR(LEFT(U15,VLOOKUP($H15,ELENCHI!$BG$24:$CB$123,6,FALSE)-VLOOKUP($H15,ELENCHI!$BG$24:$CB$123,11,FALSE))&amp;IF(VLOOKUP($H15,ELENCHI!$BG$24:$CB$123,11,FALSE)=0,"",",")&amp;RIGHT(U15,VLOOKUP($H15,ELENCHI!$BG$24:$CB$123,11,FALSE)),""),"!!!")</f>
        <v>!!!</v>
      </c>
      <c r="X15" s="105" t="str">
        <f t="shared" si="15"/>
        <v/>
      </c>
      <c r="Y15" s="105" t="str">
        <f>IF(LEFT($F15,1)="*",IF(VLOOKUP($H15,ELENCHI!$BG$24:$BO$123,7,FALSE)=LEN(X15),0,1),"")</f>
        <v/>
      </c>
      <c r="Z15" s="105" t="str">
        <f>IF(Y15=0,IFERROR(LEFT(X15,VLOOKUP($H15,ELENCHI!$BG$24:$CB$123,7,FALSE)-VLOOKUP($H15,ELENCHI!$BG$24:$CB$123,12,FALSE))&amp;IF(VLOOKUP($H15,ELENCHI!$BG$24:$CB$123,12,FALSE)=0,"",",")&amp;RIGHT(X15,VLOOKUP($H15,ELENCHI!$BG$24:$CB$123,12,FALSE)),""),"!!!")</f>
        <v>!!!</v>
      </c>
      <c r="AA15" s="113" t="str">
        <f t="shared" si="16"/>
        <v/>
      </c>
      <c r="AB15" s="113" t="str">
        <f>IF(LEFT($F15,1)="*",IF(VLOOKUP($H15,ELENCHI!$BG$24:$BO$123,8,FALSE)=LEN(AA15),0,1),"")</f>
        <v/>
      </c>
      <c r="AC15" s="113" t="str">
        <f>IF(AB15=0,IFERROR(LEFT(AA15,VLOOKUP($H15,ELENCHI!$BG$24:$CB$123,8,FALSE)-VLOOKUP($H15,ELENCHI!$BG$24:$CB$123,13,FALSE))&amp;IF(VLOOKUP($H15,ELENCHI!$BG$24:$CB$123,13,FALSE)=0,"",",")&amp;RIGHT(AA15,VLOOKUP($H15,ELENCHI!$BG$24:$CB$123,13,FALSE)),""),"!!!")</f>
        <v>!!!</v>
      </c>
      <c r="AD15" s="105" t="str">
        <f t="shared" si="17"/>
        <v/>
      </c>
      <c r="AE15" s="105" t="str">
        <f>IF(LEFT($F15,1)="*",IF(VLOOKUP($H15,ELENCHI!$BG$24:$BO$123,9,FALSE)=LEN(AD15),0,1),"")</f>
        <v/>
      </c>
      <c r="AF15" s="105" t="str">
        <f>IF(AE15=0,IFERROR(LEFT(AD15,VLOOKUP($H15,ELENCHI!$BG$24:$CB$123,9,FALSE)-VLOOKUP($H15,ELENCHI!$BG$24:$CB$123,14,FALSE))&amp;IF(VLOOKUP($H15,ELENCHI!$BG$24:$CB$123,14,FALSE)=0,"",",")&amp;RIGHT(AD15,VLOOKUP($H15,ELENCHI!$BG$24:$CB$123,14,FALSE)),""),"!!!")</f>
        <v>!!!</v>
      </c>
      <c r="AG15" s="117">
        <f t="shared" si="18"/>
        <v>0</v>
      </c>
      <c r="AH15" s="2" t="str">
        <f>AM14&amp;IF(H15&lt;&gt;0,VLOOKUP($H15,ELENCHI!$BG$24:$CB$123,16,FALSE)&amp;T15&amp;VLOOKUP($H15,ELENCHI!$BG$24:$CB$123,17,FALSE)&amp;W15&amp;VLOOKUP($H15,ELENCHI!$BG$24:$CB$123,18,FALSE)&amp;Z15&amp;VLOOKUP($H15,ELENCHI!$BG$24:$CB$123,19,FALSE)&amp;AC15&amp;VLOOKUP($H15,ELENCHI!$BG$24:$CB$123,20,FALSE)&amp;AF15&amp;CHAR(10),I15&amp;IF(IFERROR(FIND(CHAR(10),LEFT(B15,LUNGH),1),0)&gt;0,CHAR(10),""))</f>
        <v/>
      </c>
      <c r="AI15" s="3" t="str">
        <f t="shared" si="19"/>
        <v xml:space="preserve"> </v>
      </c>
      <c r="AJ15" s="3">
        <f t="shared" si="20"/>
        <v>999</v>
      </c>
      <c r="AK15" s="3">
        <f t="shared" si="21"/>
        <v>999</v>
      </c>
      <c r="AL15" s="114" t="str">
        <f t="shared" si="9"/>
        <v xml:space="preserve">                                                     </v>
      </c>
      <c r="AM15" s="20" t="str">
        <f t="shared" si="10"/>
        <v/>
      </c>
      <c r="AN15" s="2">
        <f t="shared" si="22"/>
        <v>7</v>
      </c>
      <c r="AO15" s="462" t="str">
        <f t="shared" si="23"/>
        <v xml:space="preserve">                                                     </v>
      </c>
      <c r="AP15" s="462" t="str">
        <f t="shared" si="24"/>
        <v xml:space="preserve">7                                                            
</v>
      </c>
    </row>
    <row r="16" spans="1:42" x14ac:dyDescent="0.25">
      <c r="A16" s="2" t="str">
        <f>IF(NUMRD+(ROW()-ROW($A$8))+SUM(STRINGA!$I$6:$M$6)&lt;=NUMRD*2+NUMRDJ,ROW()-ROW($A$8),"")</f>
        <v/>
      </c>
      <c r="B16" s="14" t="str">
        <f t="shared" si="0"/>
        <v/>
      </c>
      <c r="C16" s="433" t="str">
        <f t="shared" si="1"/>
        <v xml:space="preserve"> </v>
      </c>
      <c r="D16" s="3">
        <f t="shared" si="11"/>
        <v>999</v>
      </c>
      <c r="E16" s="3">
        <f t="shared" si="26"/>
        <v>999</v>
      </c>
      <c r="F16" s="19" t="str">
        <f t="shared" si="3"/>
        <v/>
      </c>
      <c r="G16" s="20" t="str">
        <f t="shared" si="4"/>
        <v/>
      </c>
      <c r="H16" s="3">
        <f t="shared" si="5"/>
        <v>0</v>
      </c>
      <c r="I16" s="2" t="str">
        <f t="shared" si="6"/>
        <v/>
      </c>
      <c r="J16" s="2">
        <f t="shared" si="7"/>
        <v>0</v>
      </c>
      <c r="K16" s="3" t="str">
        <f t="shared" si="12"/>
        <v>0</v>
      </c>
      <c r="L16" s="2" t="str">
        <f t="shared" si="13"/>
        <v/>
      </c>
      <c r="M16" s="2" t="str">
        <f t="shared" si="13"/>
        <v/>
      </c>
      <c r="N16" s="2" t="str">
        <f t="shared" si="13"/>
        <v/>
      </c>
      <c r="O16" s="2" t="str">
        <f t="shared" si="13"/>
        <v/>
      </c>
      <c r="P16" s="2" t="str">
        <f t="shared" si="13"/>
        <v/>
      </c>
      <c r="Q16" s="2" t="str">
        <f t="shared" si="8"/>
        <v/>
      </c>
      <c r="R16" s="105" t="str">
        <f t="shared" si="25"/>
        <v/>
      </c>
      <c r="S16" s="105" t="str">
        <f>IF(LEFT($F16,1)="*",IF(VLOOKUP($H16,ELENCHI!$BG$24:$BO$123,5,FALSE)=LEN(R16),0,1),"")</f>
        <v/>
      </c>
      <c r="T16" s="105" t="str">
        <f>IF(S16=0,IFERROR(LEFT(R16,VLOOKUP($H16,ELENCHI!$BG$24:$CB$123,5,FALSE)-VLOOKUP($H16,ELENCHI!$BG$24:$CB$123,10,FALSE))&amp;IF(VLOOKUP($H16,ELENCHI!$BG$24:$CB$123,10,FALSE)=0,"",",")&amp;RIGHT(R16,VLOOKUP($H16,ELENCHI!$BG$24:$CB$123,10,FALSE)),""),"!!!")</f>
        <v>!!!</v>
      </c>
      <c r="U16" s="2" t="str">
        <f t="shared" si="14"/>
        <v/>
      </c>
      <c r="V16" s="2" t="str">
        <f>IF(LEFT($F16,1)="*",IF(VLOOKUP($H16,ELENCHI!$BG$24:$BO$123,6,FALSE)=LEN(U16),0,1),"")</f>
        <v/>
      </c>
      <c r="W16" s="2" t="str">
        <f>IF(V16=0,IFERROR(LEFT(U16,VLOOKUP($H16,ELENCHI!$BG$24:$CB$123,6,FALSE)-VLOOKUP($H16,ELENCHI!$BG$24:$CB$123,11,FALSE))&amp;IF(VLOOKUP($H16,ELENCHI!$BG$24:$CB$123,11,FALSE)=0,"",",")&amp;RIGHT(U16,VLOOKUP($H16,ELENCHI!$BG$24:$CB$123,11,FALSE)),""),"!!!")</f>
        <v>!!!</v>
      </c>
      <c r="X16" s="105" t="str">
        <f t="shared" si="15"/>
        <v/>
      </c>
      <c r="Y16" s="105" t="str">
        <f>IF(LEFT($F16,1)="*",IF(VLOOKUP($H16,ELENCHI!$BG$24:$BO$123,7,FALSE)=LEN(X16),0,1),"")</f>
        <v/>
      </c>
      <c r="Z16" s="105" t="str">
        <f>IF(Y16=0,IFERROR(LEFT(X16,VLOOKUP($H16,ELENCHI!$BG$24:$CB$123,7,FALSE)-VLOOKUP($H16,ELENCHI!$BG$24:$CB$123,12,FALSE))&amp;IF(VLOOKUP($H16,ELENCHI!$BG$24:$CB$123,12,FALSE)=0,"",",")&amp;RIGHT(X16,VLOOKUP($H16,ELENCHI!$BG$24:$CB$123,12,FALSE)),""),"!!!")</f>
        <v>!!!</v>
      </c>
      <c r="AA16" s="113" t="str">
        <f t="shared" si="16"/>
        <v/>
      </c>
      <c r="AB16" s="113" t="str">
        <f>IF(LEFT($F16,1)="*",IF(VLOOKUP($H16,ELENCHI!$BG$24:$BO$123,8,FALSE)=LEN(AA16),0,1),"")</f>
        <v/>
      </c>
      <c r="AC16" s="113" t="str">
        <f>IF(AB16=0,IFERROR(LEFT(AA16,VLOOKUP($H16,ELENCHI!$BG$24:$CB$123,8,FALSE)-VLOOKUP($H16,ELENCHI!$BG$24:$CB$123,13,FALSE))&amp;IF(VLOOKUP($H16,ELENCHI!$BG$24:$CB$123,13,FALSE)=0,"",",")&amp;RIGHT(AA16,VLOOKUP($H16,ELENCHI!$BG$24:$CB$123,13,FALSE)),""),"!!!")</f>
        <v>!!!</v>
      </c>
      <c r="AD16" s="105" t="str">
        <f t="shared" si="17"/>
        <v/>
      </c>
      <c r="AE16" s="105" t="str">
        <f>IF(LEFT($F16,1)="*",IF(VLOOKUP($H16,ELENCHI!$BG$24:$BO$123,9,FALSE)=LEN(AD16),0,1),"")</f>
        <v/>
      </c>
      <c r="AF16" s="105" t="str">
        <f>IF(AE16=0,IFERROR(LEFT(AD16,VLOOKUP($H16,ELENCHI!$BG$24:$CB$123,9,FALSE)-VLOOKUP($H16,ELENCHI!$BG$24:$CB$123,14,FALSE))&amp;IF(VLOOKUP($H16,ELENCHI!$BG$24:$CB$123,14,FALSE)=0,"",",")&amp;RIGHT(AD16,VLOOKUP($H16,ELENCHI!$BG$24:$CB$123,14,FALSE)),""),"!!!")</f>
        <v>!!!</v>
      </c>
      <c r="AG16" s="117">
        <f t="shared" si="18"/>
        <v>0</v>
      </c>
      <c r="AH16" s="2" t="str">
        <f>AM15&amp;IF(H16&lt;&gt;0,VLOOKUP($H16,ELENCHI!$BG$24:$CB$123,16,FALSE)&amp;T16&amp;VLOOKUP($H16,ELENCHI!$BG$24:$CB$123,17,FALSE)&amp;W16&amp;VLOOKUP($H16,ELENCHI!$BG$24:$CB$123,18,FALSE)&amp;Z16&amp;VLOOKUP($H16,ELENCHI!$BG$24:$CB$123,19,FALSE)&amp;AC16&amp;VLOOKUP($H16,ELENCHI!$BG$24:$CB$123,20,FALSE)&amp;AF16&amp;CHAR(10),I16&amp;IF(IFERROR(FIND(CHAR(10),LEFT(B16,LUNGH),1),0)&gt;0,CHAR(10),""))</f>
        <v/>
      </c>
      <c r="AI16" s="3" t="str">
        <f t="shared" si="19"/>
        <v xml:space="preserve"> </v>
      </c>
      <c r="AJ16" s="3">
        <f t="shared" si="20"/>
        <v>999</v>
      </c>
      <c r="AK16" s="3">
        <f t="shared" si="21"/>
        <v>999</v>
      </c>
      <c r="AL16" s="114" t="str">
        <f t="shared" si="9"/>
        <v xml:space="preserve">                                                     </v>
      </c>
      <c r="AM16" s="20" t="str">
        <f t="shared" si="10"/>
        <v/>
      </c>
      <c r="AN16" s="2" t="str">
        <f t="shared" si="22"/>
        <v/>
      </c>
      <c r="AO16" s="462" t="str">
        <f t="shared" si="23"/>
        <v>------  RIGA OCCUPATA DA PRESCRIZIONI TECNICHE ------</v>
      </c>
      <c r="AP16" s="462" t="str">
        <f t="shared" si="24"/>
        <v xml:space="preserve">       ------  RIGA OCCUPATA DA PRESCRIZIONI TECNICHE ------
</v>
      </c>
    </row>
    <row r="17" spans="1:42" x14ac:dyDescent="0.25">
      <c r="A17" s="117" t="str">
        <f>IF(NUMRD+(ROW()-ROW($A$8))+SUM(STRINGA!$I$6:$M$6)&lt;=NUMRD*2+NUMRDJ,ROW()-ROW($A$8),"")</f>
        <v/>
      </c>
      <c r="B17" s="145" t="str">
        <f t="shared" si="0"/>
        <v/>
      </c>
      <c r="C17" s="482" t="str">
        <f t="shared" si="1"/>
        <v xml:space="preserve"> </v>
      </c>
      <c r="D17" s="146">
        <f t="shared" si="11"/>
        <v>999</v>
      </c>
      <c r="E17" s="146">
        <f t="shared" si="26"/>
        <v>999</v>
      </c>
      <c r="F17" s="144" t="str">
        <f t="shared" si="3"/>
        <v/>
      </c>
      <c r="G17" s="147" t="str">
        <f>MID(B17,MIN(D17+1,E17+2,LUNGH+1+IF(E17=LUNGH,1,0)+IF(LEFT(B17,1)=CHAR(10),1,0)),1000)</f>
        <v/>
      </c>
      <c r="H17" s="146">
        <f t="shared" si="5"/>
        <v>0</v>
      </c>
      <c r="I17" s="143" t="str">
        <f>CLEAN(LEFT(LEFT(CLEAN(B17),MIN(D17,E17)),LUNGH))</f>
        <v/>
      </c>
      <c r="K17" s="4"/>
      <c r="AF17" s="437" t="s">
        <v>803</v>
      </c>
      <c r="AG17" s="423">
        <f>SUM(AG9:AG16)</f>
        <v>0</v>
      </c>
      <c r="AH17" s="2" t="str">
        <f>AM16&amp;IF(H17&lt;&gt;0,VLOOKUP($H17,ELENCHI!$BG$24:$CB$123,16,FALSE)&amp;T17&amp;VLOOKUP($H17,ELENCHI!$BG$24:$CB$123,17,FALSE)&amp;W17&amp;VLOOKUP($H17,ELENCHI!$BG$24:$CB$123,18,FALSE)&amp;Z17&amp;VLOOKUP($H17,ELENCHI!$BG$24:$CB$123,19,FALSE)&amp;AC17&amp;VLOOKUP($H17,ELENCHI!$BG$24:$CB$123,20,FALSE)&amp;AF17&amp;CHAR(10),I17&amp;IF(IFERROR(FIND(CHAR(10),LEFT(B17,LUNGH),1),0)&gt;0,CHAR(10),""))</f>
        <v/>
      </c>
      <c r="AI17" s="3" t="str">
        <f t="shared" si="19"/>
        <v xml:space="preserve"> </v>
      </c>
      <c r="AJ17" s="3">
        <f t="shared" si="20"/>
        <v>999</v>
      </c>
      <c r="AK17" s="3">
        <f t="shared" si="21"/>
        <v>999</v>
      </c>
      <c r="AL17" s="114" t="str">
        <f t="shared" si="9"/>
        <v xml:space="preserve">                                                     </v>
      </c>
      <c r="AM17" s="20" t="str">
        <f t="shared" si="10"/>
        <v/>
      </c>
      <c r="AN17" s="463" t="s">
        <v>778</v>
      </c>
      <c r="AO17" s="463"/>
      <c r="AP17" s="463"/>
    </row>
    <row r="18" spans="1:42" x14ac:dyDescent="0.25">
      <c r="A18" s="485" t="s">
        <v>778</v>
      </c>
      <c r="B18" s="48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AF18" s="613" t="s">
        <v>804</v>
      </c>
      <c r="AG18" s="611" t="str">
        <f>IFERROR(IF(AG17&gt;0,": ERRORE, LUNGHEZZA DATI ASTERISCATA","                                    "),":   ERRORE, ASTERISCATA NON IN ELENCO O ERRATA")</f>
        <v xml:space="preserve">                                    </v>
      </c>
      <c r="AH18" s="2" t="str">
        <f>AM17&amp;IF(H18&lt;&gt;0,VLOOKUP($H18,ELENCHI!$BG$24:$CB$123,16,FALSE)&amp;T18&amp;VLOOKUP($H18,ELENCHI!$BG$24:$CB$123,17,FALSE)&amp;W18&amp;VLOOKUP($H18,ELENCHI!$BG$24:$CB$123,18,FALSE)&amp;Z18&amp;VLOOKUP($H18,ELENCHI!$BG$24:$CB$123,19,FALSE)&amp;AC18&amp;VLOOKUP($H18,ELENCHI!$BG$24:$CB$123,20,FALSE)&amp;AF18&amp;CHAR(10),I18&amp;IF(IFERROR(FIND(CHAR(10),LEFT(B18,LUNGH),1),0)&gt;0,CHAR(10),""))</f>
        <v/>
      </c>
      <c r="AI18" s="3" t="str">
        <f t="shared" si="19"/>
        <v xml:space="preserve"> </v>
      </c>
      <c r="AJ18" s="3">
        <f t="shared" si="20"/>
        <v>999</v>
      </c>
      <c r="AK18" s="3">
        <f t="shared" si="21"/>
        <v>999</v>
      </c>
      <c r="AL18" s="114" t="str">
        <f t="shared" si="9"/>
        <v xml:space="preserve">                                                     </v>
      </c>
      <c r="AM18" s="20" t="str">
        <f t="shared" si="10"/>
        <v/>
      </c>
      <c r="AN18" s="608" t="str">
        <f>CONCATENATE(AP9,AP10,AP11,AP12,AP13,AP14,AP15,AP16,)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       ------  RIGA OCCUPATA DA PRESCRIZIONI TECNICHE ------
</v>
      </c>
      <c r="AO18" s="608"/>
      <c r="AP18" s="608"/>
    </row>
    <row r="19" spans="1:42" ht="45" customHeight="1" x14ac:dyDescent="0.25">
      <c r="A19" s="633" t="str">
        <f>CONCATENATE(F9,F10,F11,F12,F13,F14,F15,F16)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9" s="634"/>
      <c r="C19" s="444"/>
      <c r="D19" s="444"/>
      <c r="E19" s="444"/>
      <c r="F19" s="444"/>
      <c r="G19" s="444"/>
      <c r="H19" s="444"/>
      <c r="I19" s="444"/>
      <c r="J19" s="444"/>
      <c r="K19" s="425"/>
      <c r="L19" s="8"/>
      <c r="M19" s="8"/>
      <c r="N19" s="8"/>
      <c r="O19" s="8"/>
      <c r="P19" s="8"/>
      <c r="Q19" s="8"/>
      <c r="AF19" s="613"/>
      <c r="AG19" s="611"/>
      <c r="AH19" s="2" t="str">
        <f>AM18&amp;IF(H19&lt;&gt;0,VLOOKUP($H19,ELENCHI!$BG$24:$CB$123,16,FALSE)&amp;T19&amp;VLOOKUP($H19,ELENCHI!$BG$24:$CB$123,17,FALSE)&amp;W19&amp;VLOOKUP($H19,ELENCHI!$BG$24:$CB$123,18,FALSE)&amp;Z19&amp;VLOOKUP($H19,ELENCHI!$BG$24:$CB$123,19,FALSE)&amp;AC19&amp;VLOOKUP($H19,ELENCHI!$BG$24:$CB$123,20,FALSE)&amp;AF19&amp;CHAR(10),I19&amp;IF(IFERROR(FIND(CHAR(10),LEFT(B19,LUNGH),1),0)&gt;0,CHAR(10),""))</f>
        <v/>
      </c>
      <c r="AI19" s="3" t="str">
        <f t="shared" si="19"/>
        <v xml:space="preserve"> </v>
      </c>
      <c r="AJ19" s="3">
        <f t="shared" si="20"/>
        <v>999</v>
      </c>
      <c r="AK19" s="3">
        <f t="shared" si="21"/>
        <v>999</v>
      </c>
      <c r="AL19" s="114" t="str">
        <f t="shared" si="9"/>
        <v xml:space="preserve">                                                     </v>
      </c>
      <c r="AM19" s="20" t="str">
        <f t="shared" si="10"/>
        <v/>
      </c>
      <c r="AN19" s="608"/>
      <c r="AO19" s="608"/>
      <c r="AP19" s="608"/>
    </row>
    <row r="20" spans="1:42" ht="45" customHeight="1" x14ac:dyDescent="0.25">
      <c r="A20" s="635"/>
      <c r="B20" s="636"/>
      <c r="K20" s="4"/>
      <c r="AF20" s="609" t="s">
        <v>805</v>
      </c>
      <c r="AG20" s="610"/>
      <c r="AH20" s="438" t="str">
        <f>CONCATENATE(AL9,AL10,AL11,AL12,AL13,AL14,AL15,AL16,AL17,AL18,AL19)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I20" s="429"/>
      <c r="AJ20" s="429"/>
      <c r="AK20" s="429"/>
      <c r="AL20" s="429"/>
      <c r="AM20" s="429"/>
      <c r="AN20" s="608"/>
      <c r="AO20" s="608"/>
      <c r="AP20" s="608"/>
    </row>
    <row r="21" spans="1:42" x14ac:dyDescent="0.25">
      <c r="A21" s="488"/>
      <c r="B21" s="489"/>
      <c r="K21" s="4"/>
    </row>
    <row r="22" spans="1:42" ht="33.75" x14ac:dyDescent="0.5">
      <c r="A22" s="492" t="s">
        <v>806</v>
      </c>
      <c r="B22" s="493"/>
      <c r="C22" s="467"/>
      <c r="D22" s="467"/>
      <c r="E22" s="467"/>
      <c r="F22" s="467"/>
      <c r="G22" s="467"/>
      <c r="H22" s="467"/>
      <c r="I22" s="467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</row>
    <row r="23" spans="1:42" x14ac:dyDescent="0.25">
      <c r="A23" s="485" t="s">
        <v>108</v>
      </c>
      <c r="B23" s="48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52.25" customHeight="1" x14ac:dyDescent="0.25">
      <c r="A24" s="639" t="str">
        <f>UPPER(INSERIMENTO!CQ7)</f>
        <v/>
      </c>
      <c r="B24" s="640"/>
      <c r="F24" s="15"/>
      <c r="I24" s="7"/>
    </row>
    <row r="25" spans="1:42" x14ac:dyDescent="0.25">
      <c r="A25" s="426"/>
      <c r="B25" s="487"/>
      <c r="F25" s="8"/>
      <c r="G25" s="8"/>
      <c r="H25" s="8"/>
      <c r="I25" s="8"/>
      <c r="J25" s="16" t="s">
        <v>770</v>
      </c>
      <c r="K25" s="106"/>
    </row>
    <row r="26" spans="1:42" x14ac:dyDescent="0.25">
      <c r="A26" s="488"/>
      <c r="B26" s="489"/>
      <c r="C26" s="612" t="s">
        <v>771</v>
      </c>
      <c r="D26" s="612"/>
      <c r="E26" s="612"/>
      <c r="J26" s="436">
        <f>SUM(J28:J36)-LEN(I37)</f>
        <v>424</v>
      </c>
      <c r="K26" s="617" t="s">
        <v>771</v>
      </c>
      <c r="L26" s="615"/>
      <c r="M26" s="615"/>
      <c r="N26" s="615"/>
      <c r="O26" s="615"/>
      <c r="P26" s="615"/>
      <c r="Q26" s="616"/>
      <c r="R26" s="617" t="s">
        <v>772</v>
      </c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I26" s="612" t="s">
        <v>773</v>
      </c>
      <c r="AJ26" s="612"/>
      <c r="AK26" s="612"/>
      <c r="AN26" s="460" t="s">
        <v>861</v>
      </c>
      <c r="AO26" s="460"/>
      <c r="AP26" s="460"/>
    </row>
    <row r="27" spans="1:42" x14ac:dyDescent="0.25">
      <c r="A27" s="490" t="s">
        <v>774</v>
      </c>
      <c r="B27" s="491"/>
      <c r="C27" s="447" t="s">
        <v>775</v>
      </c>
      <c r="D27" s="447" t="s">
        <v>776</v>
      </c>
      <c r="E27" s="447" t="s">
        <v>777</v>
      </c>
      <c r="F27" s="447" t="s">
        <v>778</v>
      </c>
      <c r="G27" s="447" t="s">
        <v>779</v>
      </c>
      <c r="H27" s="447" t="s">
        <v>233</v>
      </c>
      <c r="I27" s="447" t="s">
        <v>780</v>
      </c>
      <c r="J27" s="16" t="s">
        <v>781</v>
      </c>
      <c r="K27" s="16">
        <v>0</v>
      </c>
      <c r="L27" s="16" t="s">
        <v>782</v>
      </c>
      <c r="M27" s="16" t="s">
        <v>783</v>
      </c>
      <c r="N27" s="16" t="s">
        <v>784</v>
      </c>
      <c r="O27" s="16" t="s">
        <v>785</v>
      </c>
      <c r="P27" s="16" t="s">
        <v>786</v>
      </c>
      <c r="Q27" s="16" t="s">
        <v>787</v>
      </c>
      <c r="R27" s="16" t="s">
        <v>782</v>
      </c>
      <c r="S27" s="16" t="s">
        <v>788</v>
      </c>
      <c r="T27" s="16" t="s">
        <v>789</v>
      </c>
      <c r="U27" s="16" t="s">
        <v>783</v>
      </c>
      <c r="V27" s="16" t="s">
        <v>790</v>
      </c>
      <c r="W27" s="16" t="s">
        <v>791</v>
      </c>
      <c r="X27" s="16" t="s">
        <v>784</v>
      </c>
      <c r="Y27" s="16" t="s">
        <v>792</v>
      </c>
      <c r="Z27" s="16" t="s">
        <v>793</v>
      </c>
      <c r="AA27" s="16" t="s">
        <v>785</v>
      </c>
      <c r="AB27" s="16" t="s">
        <v>794</v>
      </c>
      <c r="AC27" s="16" t="s">
        <v>795</v>
      </c>
      <c r="AD27" s="16" t="s">
        <v>786</v>
      </c>
      <c r="AE27" s="16" t="s">
        <v>796</v>
      </c>
      <c r="AF27" s="16" t="s">
        <v>797</v>
      </c>
      <c r="AG27" s="16" t="s">
        <v>798</v>
      </c>
      <c r="AH27" s="16" t="s">
        <v>799</v>
      </c>
      <c r="AI27" s="447" t="s">
        <v>775</v>
      </c>
      <c r="AJ27" s="447" t="s">
        <v>776</v>
      </c>
      <c r="AK27" s="447" t="s">
        <v>777</v>
      </c>
      <c r="AL27" s="447" t="s">
        <v>800</v>
      </c>
      <c r="AM27" s="447" t="s">
        <v>801</v>
      </c>
      <c r="AN27" s="461" t="s">
        <v>862</v>
      </c>
      <c r="AO27" s="461" t="s">
        <v>863</v>
      </c>
      <c r="AP27" s="461" t="s">
        <v>864</v>
      </c>
    </row>
    <row r="28" spans="1:42" x14ac:dyDescent="0.25">
      <c r="A28" s="2">
        <f>IF(NUMRD+(ROW()-ROW($A$28))+SUM(STRINGA!$I$7:$M$7)&lt;=NUMRD*2+NUMRDJ,ROW()-ROW($A$28),"")</f>
        <v>0</v>
      </c>
      <c r="B28" s="11" t="s">
        <v>802</v>
      </c>
      <c r="C28" s="43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x14ac:dyDescent="0.25">
      <c r="A29" s="2">
        <f>IF(NUMRD+(ROW()-ROW($A$28))+SUM(STRINGA!$I$7:$M$7)&lt;=NUMRD*2+NUMRDJ,ROW()-ROW($A$28),"")</f>
        <v>1</v>
      </c>
      <c r="B29" s="14" t="str">
        <f t="shared" ref="B29:B37" si="27">IF(OR(LEFT(IFERROR(G28&amp;MID($A$24,(A28)*LUNGH+1,LUNGH),""),1)=CHAR(10),LEFT(IFERROR(G28&amp;MID($A$24,(A28)*LUNGH+1,LUNGH),""),1)=" "),MID(IFERROR(G28&amp;MID($A$24,(A28)*LUNGH+1,LUNGH),""),2,999),IFERROR(G28&amp;MID($A$24,(A28)*LUNGH+1,LUNGH),""))</f>
        <v/>
      </c>
      <c r="C29" s="433" t="str">
        <f t="shared" ref="C29:C37" si="28">IFERROR(FIND("*",B29)," ")</f>
        <v xml:space="preserve"> </v>
      </c>
      <c r="D29" s="3">
        <f>IFERROR(IF(C29=1,FIND("*",B29,C29+1),999),999)</f>
        <v>999</v>
      </c>
      <c r="E29" s="3">
        <f t="shared" ref="E29:E33" si="29">IFERROR(FIND(CHAR(10),B29,2)-1-IF(LEFT(B29,1)=CHAR(10),1,0),999)</f>
        <v>999</v>
      </c>
      <c r="F29" s="19" t="str">
        <f t="shared" ref="F29:F37" si="30">IF(A29&lt;&gt;"",LEFT(LEFT(CLEAN(B29),MIN(D29,E29))&amp;SPAZI,LUNGH),"")</f>
        <v xml:space="preserve">                                                     </v>
      </c>
      <c r="G29" s="20" t="str">
        <f t="shared" ref="G29:G37" si="31">MID(B29,MIN(D29+1,E29+2,LUNGH+1+IF(E29=LUNGH,1,0)+IF(LEFT(B29,1)=CHAR(10),1,0)),1000)</f>
        <v/>
      </c>
      <c r="H29" s="3">
        <f t="shared" ref="H29:H37" si="32">IF(IFERROR(LEFT(F29,MIN(IFERROR(FIND("=",F29,2)-1,1000),FIND("*",F29,2)-1)),0)="*SOSPE",LEFT(F29,8),IFERROR(IF(C29=1,LEFT(F29,MIN(IFERROR(FIND("=",F29,2)-1,1000),FIND("*",F29,2)-1)),0),0))</f>
        <v>0</v>
      </c>
      <c r="I29" s="2" t="str">
        <f t="shared" ref="I29:I36" si="33">CLEAN(LEFT(LEFT(CLEAN(B29),MIN(D29,E29)),LUNGH))</f>
        <v/>
      </c>
      <c r="J29" s="2">
        <f t="shared" ref="J29:J36" si="34">IF(I30&lt;&gt;"","",LEN(F29)-LEN(I29))</f>
        <v>53</v>
      </c>
      <c r="K29" s="3" t="str">
        <f t="shared" ref="K29:K36" si="35">"0"</f>
        <v>0</v>
      </c>
      <c r="L29" s="2" t="str">
        <f t="shared" ref="L29:P36" si="36">IF(LEFT($F29,1)="*",IFERROR(FIND("=",$F29,K29+1),$D29),"")</f>
        <v/>
      </c>
      <c r="M29" s="2" t="str">
        <f t="shared" si="36"/>
        <v/>
      </c>
      <c r="N29" s="2" t="str">
        <f t="shared" si="36"/>
        <v/>
      </c>
      <c r="O29" s="2" t="str">
        <f t="shared" si="36"/>
        <v/>
      </c>
      <c r="P29" s="2" t="str">
        <f t="shared" si="36"/>
        <v/>
      </c>
      <c r="Q29" s="2" t="str">
        <f t="shared" ref="Q29:Q36" si="37">IF(LEFT($F29,1)="*",IFERROR(FIND("=",$F29,O29+1),$D29),"")</f>
        <v/>
      </c>
      <c r="R29" s="105" t="str">
        <f>IF(LEFT($H29,6)="*SOSPE"," ",IF(LEFT($F29,1)="*",MID($F29,L29+1,MAX(M29-L29-1,0)),""))</f>
        <v/>
      </c>
      <c r="S29" s="105" t="str">
        <f>IF(LEFT($F29,1)="*",IF(VLOOKUP($H29,ELENCHI!$BG$24:$BO$123,5,FALSE)=LEN(R29),0,1),"")</f>
        <v/>
      </c>
      <c r="T29" s="105" t="str">
        <f>IF(S29=0,IFERROR(LEFT(R29,VLOOKUP($H29,ELENCHI!$BG$24:$CB$123,5,FALSE)-VLOOKUP($H29,ELENCHI!$BG$24:$CB$123,10,FALSE))&amp;IF(VLOOKUP($H29,ELENCHI!$BG$24:$CB$123,10,FALSE)=0,"",",")&amp;RIGHT(R29,VLOOKUP($H29,ELENCHI!$BG$24:$CB$123,10,FALSE)),""),"!!!")</f>
        <v>!!!</v>
      </c>
      <c r="U29" s="2" t="str">
        <f>IF(LEFT($F29,1)="*",MID($F29,M29+1,MAX(N29-M29-1,0)),"")</f>
        <v/>
      </c>
      <c r="V29" s="2" t="str">
        <f>IF(LEFT($F29,1)="*",IF(VLOOKUP($H29,ELENCHI!$BG$24:$BO$123,6,FALSE)=LEN(U29),0,1),"")</f>
        <v/>
      </c>
      <c r="W29" s="2" t="str">
        <f>IF(V29=0,IFERROR(LEFT(U29,VLOOKUP($H29,ELENCHI!$BG$24:$CB$123,6,FALSE)-VLOOKUP($H29,ELENCHI!$BG$24:$CB$123,11,FALSE))&amp;IF(VLOOKUP($H29,ELENCHI!$BG$24:$CB$123,11,FALSE)=0,"",",")&amp;RIGHT(U29,VLOOKUP($H29,ELENCHI!$BG$24:$CB$123,11,FALSE)),""),"!!!")</f>
        <v>!!!</v>
      </c>
      <c r="X29" s="105" t="str">
        <f>IF(LEFT($F29,1)="*",MID($F29,N29+1,MAX(O29-N29-1,0)),"")</f>
        <v/>
      </c>
      <c r="Y29" s="105" t="str">
        <f>IF(LEFT($F29,1)="*",IF(VLOOKUP($H29,ELENCHI!$BG$24:$BO$123,7,FALSE)=LEN(X29),0,1),"")</f>
        <v/>
      </c>
      <c r="Z29" s="105" t="str">
        <f>IF(Y29=0,IFERROR(LEFT(X29,VLOOKUP($H29,ELENCHI!$BG$24:$CB$123,7,FALSE)-VLOOKUP($H29,ELENCHI!$BG$24:$CB$123,12,FALSE))&amp;IF(VLOOKUP($H29,ELENCHI!$BG$24:$CB$123,12,FALSE)=0,"",",")&amp;RIGHT(X29,VLOOKUP($H29,ELENCHI!$BG$24:$CB$123,12,FALSE)),""),"!!!")</f>
        <v>!!!</v>
      </c>
      <c r="AA29" s="113" t="str">
        <f>IF(LEFT($F29,1)="*",MID($F29,O29+1,MAX(P29-O29-1,0)),"")</f>
        <v/>
      </c>
      <c r="AB29" s="113" t="str">
        <f>IF(LEFT($F29,1)="*",IF(VLOOKUP($H29,ELENCHI!$BG$24:$BO$123,8,FALSE)=LEN(AA29),0,1),"")</f>
        <v/>
      </c>
      <c r="AC29" s="113" t="str">
        <f>IF(AB29=0,IFERROR(LEFT(AA29,VLOOKUP($H29,ELENCHI!$BG$24:$CB$123,8,FALSE)-VLOOKUP($H29,ELENCHI!$BG$24:$CB$123,13,FALSE))&amp;IF(VLOOKUP($H29,ELENCHI!$BG$24:$CB$123,13,FALSE)=0,"",",")&amp;RIGHT(AA29,VLOOKUP($H29,ELENCHI!$BG$24:$CB$123,13,FALSE)),""),"!!!")</f>
        <v>!!!</v>
      </c>
      <c r="AD29" s="105" t="str">
        <f>IF(LEFT($F29,1)="*",MID($F29,P29+1,MAX(Q29-P29-1,0)),"")</f>
        <v/>
      </c>
      <c r="AE29" s="105" t="str">
        <f>IF(LEFT($F29,1)="*",IF(VLOOKUP($H29,ELENCHI!$BG$24:$BO$123,9,FALSE)=LEN(AD29),0,1),"")</f>
        <v/>
      </c>
      <c r="AF29" s="105" t="str">
        <f>IF(AE29=0,IFERROR(LEFT(AD29,VLOOKUP($H29,ELENCHI!$BG$24:$CB$123,9,FALSE)-VLOOKUP($H29,ELENCHI!$BG$24:$CB$123,14,FALSE))&amp;IF(VLOOKUP($H29,ELENCHI!$BG$24:$CB$123,14,FALSE)=0,"",",")&amp;RIGHT(AD29,VLOOKUP($H29,ELENCHI!$BG$24:$CB$123,14,FALSE)),""),"!!!")</f>
        <v>!!!</v>
      </c>
      <c r="AG29" s="117">
        <f>SUM(S29,V29,Y29,AB29,AE29)</f>
        <v>0</v>
      </c>
      <c r="AH29" s="2" t="str">
        <f>AM28&amp;IF(H29&lt;&gt;0,VLOOKUP($H29,ELENCHI!$BG$24:$CB$123,16,FALSE)&amp;T29&amp;VLOOKUP($H29,ELENCHI!$BG$24:$CB$123,17,FALSE)&amp;W29&amp;VLOOKUP($H29,ELENCHI!$BG$24:$CB$123,18,FALSE)&amp;Z29&amp;VLOOKUP($H29,ELENCHI!$BG$24:$CB$123,19,FALSE)&amp;AC29&amp;VLOOKUP($H29,ELENCHI!$BG$24:$CB$123,20,FALSE)&amp;AF29&amp;CHAR(10),I29&amp;IF(IFERROR(FIND(CHAR(10),LEFT(B29,LUNGH),1),0)&gt;0,CHAR(10),""))</f>
        <v/>
      </c>
      <c r="AI29" s="3" t="str">
        <f>IFERROR(FIND("*",AH29)," ")</f>
        <v xml:space="preserve"> </v>
      </c>
      <c r="AJ29" s="3">
        <f>IFERROR(IF(AI29=1,FIND("*",AH29,AI29+1),999),999)</f>
        <v>999</v>
      </c>
      <c r="AK29" s="3">
        <f>IFERROR(FIND(CHAR(10),AH29,2)-1,999)</f>
        <v>999</v>
      </c>
      <c r="AL29" s="114" t="str">
        <f t="shared" ref="AL29:AL39" si="38">IFERROR(LEFT(LEFT(CLEAN(AH29),MIN(AJ29,AK29))&amp;SPAZI,LUNGH),"!!!")</f>
        <v xml:space="preserve">                                                     </v>
      </c>
      <c r="AM29" s="20" t="str">
        <f t="shared" ref="AM29:AM39" si="39">MID(AH29,MIN(AJ29+1,AK29+2,LUNGH+1),1000)</f>
        <v/>
      </c>
      <c r="AN29" s="2">
        <f>A29</f>
        <v>1</v>
      </c>
      <c r="AO29" s="462" t="str">
        <f>IF(AN29&lt;&gt;"",F29,"------  RIGA OCCUPATA DA PRESCRIZIONI TECNICHE ------")</f>
        <v xml:space="preserve">                                                     </v>
      </c>
      <c r="AP29" s="462" t="str">
        <f>AN29&amp;"       "&amp;AO29&amp;CHAR(10)</f>
        <v xml:space="preserve">1                                                            
</v>
      </c>
    </row>
    <row r="30" spans="1:42" x14ac:dyDescent="0.25">
      <c r="A30" s="2">
        <f>IF(NUMRD+(ROW()-ROW($A$28))+SUM(STRINGA!$I$7:$M$7)&lt;=NUMRD*2+NUMRDJ,ROW()-ROW($A$28),"")</f>
        <v>2</v>
      </c>
      <c r="B30" s="14" t="str">
        <f t="shared" si="27"/>
        <v/>
      </c>
      <c r="C30" s="433" t="str">
        <f t="shared" si="28"/>
        <v xml:space="preserve"> </v>
      </c>
      <c r="D30" s="3">
        <f t="shared" ref="D30:D37" si="40">IFERROR(IF(C30=1,FIND("*",B30,C30+1),999),999)</f>
        <v>999</v>
      </c>
      <c r="E30" s="3">
        <f t="shared" si="29"/>
        <v>999</v>
      </c>
      <c r="F30" s="19" t="str">
        <f t="shared" si="30"/>
        <v xml:space="preserve">                                                     </v>
      </c>
      <c r="G30" s="20" t="str">
        <f t="shared" si="31"/>
        <v/>
      </c>
      <c r="H30" s="3">
        <f t="shared" si="32"/>
        <v>0</v>
      </c>
      <c r="I30" s="2" t="str">
        <f t="shared" si="33"/>
        <v/>
      </c>
      <c r="J30" s="2">
        <f t="shared" si="34"/>
        <v>53</v>
      </c>
      <c r="K30" s="3" t="str">
        <f t="shared" si="35"/>
        <v>0</v>
      </c>
      <c r="L30" s="2" t="str">
        <f t="shared" si="36"/>
        <v/>
      </c>
      <c r="M30" s="2" t="str">
        <f t="shared" si="36"/>
        <v/>
      </c>
      <c r="N30" s="2" t="str">
        <f t="shared" si="36"/>
        <v/>
      </c>
      <c r="O30" s="2" t="str">
        <f t="shared" si="36"/>
        <v/>
      </c>
      <c r="P30" s="2" t="str">
        <f t="shared" si="36"/>
        <v/>
      </c>
      <c r="Q30" s="2" t="str">
        <f t="shared" si="37"/>
        <v/>
      </c>
      <c r="R30" s="105" t="str">
        <f>IF(LEFT($H30,6)="*SOSPE"," ",IF(LEFT($F30,1)="*",MID($F30,L30+1,MAX(M30-L30-1,0)),""))</f>
        <v/>
      </c>
      <c r="S30" s="105" t="str">
        <f>IF(LEFT($F30,1)="*",IF(VLOOKUP($H30,ELENCHI!$BG$24:$BO$123,5,FALSE)=LEN(R30),0,1),"")</f>
        <v/>
      </c>
      <c r="T30" s="105" t="str">
        <f>IF(S30=0,IFERROR(LEFT(R30,VLOOKUP($H30,ELENCHI!$BG$24:$CB$123,5,FALSE)-VLOOKUP($H30,ELENCHI!$BG$24:$CB$123,10,FALSE))&amp;IF(VLOOKUP($H30,ELENCHI!$BG$24:$CB$123,10,FALSE)=0,"",",")&amp;RIGHT(R30,VLOOKUP($H30,ELENCHI!$BG$24:$CB$123,10,FALSE)),""),"!!!")</f>
        <v>!!!</v>
      </c>
      <c r="U30" s="2" t="str">
        <f t="shared" ref="U30:U36" si="41">IF(LEFT($F30,1)="*",MID($F30,M30+1,MAX(N30-M30-1,0)),"")</f>
        <v/>
      </c>
      <c r="V30" s="2" t="str">
        <f>IF(LEFT($F30,1)="*",IF(VLOOKUP($H30,ELENCHI!$BG$24:$BO$123,6,FALSE)=LEN(U30),0,1),"")</f>
        <v/>
      </c>
      <c r="W30" s="2" t="str">
        <f>IF(V30=0,IFERROR(LEFT(U30,VLOOKUP($H30,ELENCHI!$BG$24:$CB$123,6,FALSE)-VLOOKUP($H30,ELENCHI!$BG$24:$CB$123,11,FALSE))&amp;IF(VLOOKUP($H30,ELENCHI!$BG$24:$CB$123,11,FALSE)=0,"",",")&amp;RIGHT(U30,VLOOKUP($H30,ELENCHI!$BG$24:$CB$123,11,FALSE)),""),"!!!")</f>
        <v>!!!</v>
      </c>
      <c r="X30" s="105" t="str">
        <f t="shared" ref="X30:X36" si="42">IF(LEFT($F30,1)="*",MID($F30,N30+1,MAX(O30-N30-1,0)),"")</f>
        <v/>
      </c>
      <c r="Y30" s="105" t="str">
        <f>IF(LEFT($F30,1)="*",IF(VLOOKUP($H30,ELENCHI!$BG$24:$BO$123,7,FALSE)=LEN(X30),0,1),"")</f>
        <v/>
      </c>
      <c r="Z30" s="105" t="str">
        <f>IF(Y30=0,IFERROR(LEFT(X30,VLOOKUP($H30,ELENCHI!$BG$24:$CB$123,7,FALSE)-VLOOKUP($H30,ELENCHI!$BG$24:$CB$123,12,FALSE))&amp;IF(VLOOKUP($H30,ELENCHI!$BG$24:$CB$123,12,FALSE)=0,"",",")&amp;RIGHT(X30,VLOOKUP($H30,ELENCHI!$BG$24:$CB$123,12,FALSE)),""),"!!!")</f>
        <v>!!!</v>
      </c>
      <c r="AA30" s="113" t="str">
        <f t="shared" ref="AA30:AA36" si="43">IF(LEFT($F30,1)="*",MID($F30,O30+1,MAX(P30-O30-1,0)),"")</f>
        <v/>
      </c>
      <c r="AB30" s="113" t="str">
        <f>IF(LEFT($F30,1)="*",IF(VLOOKUP($H30,ELENCHI!$BG$24:$BO$123,8,FALSE)=LEN(AA30),0,1),"")</f>
        <v/>
      </c>
      <c r="AC30" s="113" t="str">
        <f>IF(AB30=0,IFERROR(LEFT(AA30,VLOOKUP($H30,ELENCHI!$BG$24:$CB$123,8,FALSE)-VLOOKUP($H30,ELENCHI!$BG$24:$CB$123,13,FALSE))&amp;IF(VLOOKUP($H30,ELENCHI!$BG$24:$CB$123,13,FALSE)=0,"",",")&amp;RIGHT(AA30,VLOOKUP($H30,ELENCHI!$BG$24:$CB$123,13,FALSE)),""),"!!!")</f>
        <v>!!!</v>
      </c>
      <c r="AD30" s="105" t="str">
        <f t="shared" ref="AD30:AD36" si="44">IF(LEFT($F30,1)="*",MID($F30,P30+1,MAX(Q30-P30-1,0)),"")</f>
        <v/>
      </c>
      <c r="AE30" s="105" t="str">
        <f>IF(LEFT($F30,1)="*",IF(VLOOKUP($H30,ELENCHI!$BG$24:$BO$123,9,FALSE)=LEN(AD30),0,1),"")</f>
        <v/>
      </c>
      <c r="AF30" s="105" t="str">
        <f>IF(AE30=0,IFERROR(LEFT(AD30,VLOOKUP($H30,ELENCHI!$BG$24:$CB$123,9,FALSE)-VLOOKUP($H30,ELENCHI!$BG$24:$CB$123,14,FALSE))&amp;IF(VLOOKUP($H30,ELENCHI!$BG$24:$CB$123,14,FALSE)=0,"",",")&amp;RIGHT(AD30,VLOOKUP($H30,ELENCHI!$BG$24:$CB$123,14,FALSE)),""),"!!!")</f>
        <v>!!!</v>
      </c>
      <c r="AG30" s="117">
        <f t="shared" ref="AG30:AG36" si="45">SUM(S30,V30,Y30,AB30,AE30)</f>
        <v>0</v>
      </c>
      <c r="AH30" s="265" t="str">
        <f>AM29&amp;IF(H30&lt;&gt;0,VLOOKUP($H30,ELENCHI!$BG$24:$CB$123,16,FALSE)&amp;T30&amp;VLOOKUP($H30,ELENCHI!$BG$24:$CB$123,17,FALSE)&amp;W30&amp;VLOOKUP($H30,ELENCHI!$BG$24:$CB$123,18,FALSE)&amp;Z30&amp;VLOOKUP($H30,ELENCHI!$BG$24:$CB$123,19,FALSE)&amp;AC30&amp;VLOOKUP($H30,ELENCHI!$BG$24:$CB$123,20,FALSE)&amp;AF30&amp;CHAR(10),I30&amp;IF(IFERROR(FIND(CHAR(10),LEFT(B30,LUNGH),1),0)&gt;0,CHAR(10),""))</f>
        <v/>
      </c>
      <c r="AI30" s="266" t="str">
        <f t="shared" ref="AI30:AI39" si="46">IFERROR(FIND("*",AH30)," ")</f>
        <v xml:space="preserve"> </v>
      </c>
      <c r="AJ30" s="3">
        <f t="shared" ref="AJ30:AJ39" si="47">IFERROR(IF(AI30=1,FIND("*",AH30,AI30+1),999),999)</f>
        <v>999</v>
      </c>
      <c r="AK30" s="266">
        <f t="shared" ref="AK30:AK39" si="48">IFERROR(FIND(CHAR(10),AH30,2)-1,999)</f>
        <v>999</v>
      </c>
      <c r="AL30" s="267" t="str">
        <f t="shared" si="38"/>
        <v xml:space="preserve">                                                     </v>
      </c>
      <c r="AM30" s="268" t="str">
        <f t="shared" si="39"/>
        <v/>
      </c>
      <c r="AN30" s="2">
        <f t="shared" ref="AN30:AN36" si="49">A30</f>
        <v>2</v>
      </c>
      <c r="AO30" s="462" t="str">
        <f t="shared" ref="AO30:AO36" si="50">IF(AN30&lt;&gt;"",F30,"------  RIGA OCCUPATA DA PRESCRIZIONI TECNICHE ------")</f>
        <v xml:space="preserve">                                                     </v>
      </c>
      <c r="AP30" s="462" t="str">
        <f t="shared" ref="AP30:AP36" si="51">AN30&amp;"       "&amp;AO30&amp;CHAR(10)</f>
        <v xml:space="preserve">2                                                            
</v>
      </c>
    </row>
    <row r="31" spans="1:42" x14ac:dyDescent="0.25">
      <c r="A31" s="2">
        <f>IF(NUMRD+(ROW()-ROW($A$28))+SUM(STRINGA!$I$7:$M$7)&lt;=NUMRD*2+NUMRDJ,ROW()-ROW($A$28),"")</f>
        <v>3</v>
      </c>
      <c r="B31" s="14" t="str">
        <f t="shared" si="27"/>
        <v/>
      </c>
      <c r="C31" s="433" t="str">
        <f t="shared" si="28"/>
        <v xml:space="preserve"> </v>
      </c>
      <c r="D31" s="3">
        <f t="shared" si="40"/>
        <v>999</v>
      </c>
      <c r="E31" s="3">
        <f t="shared" si="29"/>
        <v>999</v>
      </c>
      <c r="F31" s="19" t="str">
        <f t="shared" si="30"/>
        <v xml:space="preserve">                                                     </v>
      </c>
      <c r="G31" s="20" t="str">
        <f t="shared" si="31"/>
        <v/>
      </c>
      <c r="H31" s="3">
        <f t="shared" si="32"/>
        <v>0</v>
      </c>
      <c r="I31" s="2" t="str">
        <f t="shared" si="33"/>
        <v/>
      </c>
      <c r="J31" s="2">
        <f t="shared" si="34"/>
        <v>53</v>
      </c>
      <c r="K31" s="3" t="str">
        <f t="shared" si="35"/>
        <v>0</v>
      </c>
      <c r="L31" s="2" t="str">
        <f t="shared" si="36"/>
        <v/>
      </c>
      <c r="M31" s="2" t="str">
        <f t="shared" si="36"/>
        <v/>
      </c>
      <c r="N31" s="2" t="str">
        <f t="shared" si="36"/>
        <v/>
      </c>
      <c r="O31" s="2" t="str">
        <f t="shared" si="36"/>
        <v/>
      </c>
      <c r="P31" s="2" t="str">
        <f t="shared" si="36"/>
        <v/>
      </c>
      <c r="Q31" s="2" t="str">
        <f t="shared" si="37"/>
        <v/>
      </c>
      <c r="R31" s="105" t="str">
        <f t="shared" ref="R31:R36" si="52">IF(LEFT($H31,6)="*SOSPE"," ",IF(LEFT($F31,1)="*",MID($F31,L31+1,MAX(M31-L31-1,0)),""))</f>
        <v/>
      </c>
      <c r="S31" s="105" t="str">
        <f>IF(LEFT($F31,1)="*",IF(VLOOKUP($H31,ELENCHI!$BG$24:$BO$123,5,FALSE)=LEN(R31),0,1),"")</f>
        <v/>
      </c>
      <c r="T31" s="105" t="str">
        <f>IF(S31=0,IFERROR(LEFT(R31,VLOOKUP($H31,ELENCHI!$BG$24:$CB$123,5,FALSE)-VLOOKUP($H31,ELENCHI!$BG$24:$CB$123,10,FALSE))&amp;IF(VLOOKUP($H31,ELENCHI!$BG$24:$CB$123,10,FALSE)=0,"",",")&amp;RIGHT(R31,VLOOKUP($H31,ELENCHI!$BG$24:$CB$123,10,FALSE)),""),"!!!")</f>
        <v>!!!</v>
      </c>
      <c r="U31" s="2" t="str">
        <f t="shared" si="41"/>
        <v/>
      </c>
      <c r="V31" s="2" t="str">
        <f>IF(LEFT($F31,1)="*",IF(VLOOKUP($H31,ELENCHI!$BG$24:$BO$123,6,FALSE)=LEN(U31),0,1),"")</f>
        <v/>
      </c>
      <c r="W31" s="2" t="str">
        <f>IF(V31=0,IFERROR(LEFT(U31,VLOOKUP($H31,ELENCHI!$BG$24:$CB$123,6,FALSE)-VLOOKUP($H31,ELENCHI!$BG$24:$CB$123,11,FALSE))&amp;IF(VLOOKUP($H31,ELENCHI!$BG$24:$CB$123,11,FALSE)=0,"",",")&amp;RIGHT(U31,VLOOKUP($H31,ELENCHI!$BG$24:$CB$123,11,FALSE)),""),"!!!")</f>
        <v>!!!</v>
      </c>
      <c r="X31" s="105" t="str">
        <f t="shared" si="42"/>
        <v/>
      </c>
      <c r="Y31" s="105" t="str">
        <f>IF(LEFT($F31,1)="*",IF(VLOOKUP($H31,ELENCHI!$BG$24:$BO$123,7,FALSE)=LEN(X31),0,1),"")</f>
        <v/>
      </c>
      <c r="Z31" s="105" t="str">
        <f>IF(Y31=0,IFERROR(LEFT(X31,VLOOKUP($H31,ELENCHI!$BG$24:$CB$123,7,FALSE)-VLOOKUP($H31,ELENCHI!$BG$24:$CB$123,12,FALSE))&amp;IF(VLOOKUP($H31,ELENCHI!$BG$24:$CB$123,12,FALSE)=0,"",",")&amp;RIGHT(X31,VLOOKUP($H31,ELENCHI!$BG$24:$CB$123,12,FALSE)),""),"!!!")</f>
        <v>!!!</v>
      </c>
      <c r="AA31" s="113" t="str">
        <f t="shared" si="43"/>
        <v/>
      </c>
      <c r="AB31" s="113" t="str">
        <f>IF(LEFT($F31,1)="*",IF(VLOOKUP($H31,ELENCHI!$BG$24:$BO$123,8,FALSE)=LEN(AA31),0,1),"")</f>
        <v/>
      </c>
      <c r="AC31" s="113" t="str">
        <f>IF(AB31=0,IFERROR(LEFT(AA31,VLOOKUP($H31,ELENCHI!$BG$24:$CB$123,8,FALSE)-VLOOKUP($H31,ELENCHI!$BG$24:$CB$123,13,FALSE))&amp;IF(VLOOKUP($H31,ELENCHI!$BG$24:$CB$123,13,FALSE)=0,"",",")&amp;RIGHT(AA31,VLOOKUP($H31,ELENCHI!$BG$24:$CB$123,13,FALSE)),""),"!!!")</f>
        <v>!!!</v>
      </c>
      <c r="AD31" s="105" t="str">
        <f t="shared" si="44"/>
        <v/>
      </c>
      <c r="AE31" s="105" t="str">
        <f>IF(LEFT($F31,1)="*",IF(VLOOKUP($H31,ELENCHI!$BG$24:$BO$123,9,FALSE)=LEN(AD31),0,1),"")</f>
        <v/>
      </c>
      <c r="AF31" s="105" t="str">
        <f>IF(AE31=0,IFERROR(LEFT(AD31,VLOOKUP($H31,ELENCHI!$BG$24:$CB$123,9,FALSE)-VLOOKUP($H31,ELENCHI!$BG$24:$CB$123,14,FALSE))&amp;IF(VLOOKUP($H31,ELENCHI!$BG$24:$CB$123,14,FALSE)=0,"",",")&amp;RIGHT(AD31,VLOOKUP($H31,ELENCHI!$BG$24:$CB$123,14,FALSE)),""),"!!!")</f>
        <v>!!!</v>
      </c>
      <c r="AG31" s="117">
        <f t="shared" si="45"/>
        <v>0</v>
      </c>
      <c r="AH31" s="269" t="str">
        <f>AM30&amp;IF(H31&lt;&gt;0,VLOOKUP($H31,ELENCHI!$BG$24:$CB$123,16,FALSE)&amp;T31&amp;VLOOKUP($H31,ELENCHI!$BG$24:$CB$123,17,FALSE)&amp;W31&amp;VLOOKUP($H31,ELENCHI!$BG$24:$CB$123,18,FALSE)&amp;Z31&amp;VLOOKUP($H31,ELENCHI!$BG$24:$CB$123,19,FALSE)&amp;AC31&amp;VLOOKUP($H31,ELENCHI!$BG$24:$CB$123,20,FALSE)&amp;AF31&amp;CHAR(10),I31&amp;IF(IFERROR(FIND(CHAR(10),LEFT(B31,LUNGH),1),0)&gt;0,CHAR(10),""))</f>
        <v/>
      </c>
      <c r="AI31" s="270" t="str">
        <f t="shared" si="46"/>
        <v xml:space="preserve"> </v>
      </c>
      <c r="AJ31" s="3">
        <f t="shared" si="47"/>
        <v>999</v>
      </c>
      <c r="AK31" s="270">
        <f t="shared" si="48"/>
        <v>999</v>
      </c>
      <c r="AL31" s="271" t="str">
        <f t="shared" si="38"/>
        <v xml:space="preserve">                                                     </v>
      </c>
      <c r="AM31" s="272" t="str">
        <f t="shared" si="39"/>
        <v/>
      </c>
      <c r="AN31" s="2">
        <f t="shared" si="49"/>
        <v>3</v>
      </c>
      <c r="AO31" s="462" t="str">
        <f t="shared" si="50"/>
        <v xml:space="preserve">                                                     </v>
      </c>
      <c r="AP31" s="462" t="str">
        <f t="shared" si="51"/>
        <v xml:space="preserve">3                                                            
</v>
      </c>
    </row>
    <row r="32" spans="1:42" x14ac:dyDescent="0.25">
      <c r="A32" s="2">
        <f>IF(NUMRD+(ROW()-ROW($A$28))+SUM(STRINGA!$I$7:$M$7)&lt;=NUMRD*2+NUMRDJ,ROW()-ROW($A$28),"")</f>
        <v>4</v>
      </c>
      <c r="B32" s="14" t="str">
        <f t="shared" si="27"/>
        <v/>
      </c>
      <c r="C32" s="433" t="str">
        <f t="shared" si="28"/>
        <v xml:space="preserve"> </v>
      </c>
      <c r="D32" s="3">
        <f t="shared" si="40"/>
        <v>999</v>
      </c>
      <c r="E32" s="3">
        <f t="shared" si="29"/>
        <v>999</v>
      </c>
      <c r="F32" s="19" t="str">
        <f t="shared" si="30"/>
        <v xml:space="preserve">                                                     </v>
      </c>
      <c r="G32" s="20" t="str">
        <f t="shared" si="31"/>
        <v/>
      </c>
      <c r="H32" s="3">
        <f t="shared" si="32"/>
        <v>0</v>
      </c>
      <c r="I32" s="2" t="str">
        <f t="shared" si="33"/>
        <v/>
      </c>
      <c r="J32" s="2">
        <f t="shared" si="34"/>
        <v>53</v>
      </c>
      <c r="K32" s="3" t="str">
        <f t="shared" si="35"/>
        <v>0</v>
      </c>
      <c r="L32" s="2" t="str">
        <f t="shared" si="36"/>
        <v/>
      </c>
      <c r="M32" s="2" t="str">
        <f t="shared" si="36"/>
        <v/>
      </c>
      <c r="N32" s="2" t="str">
        <f t="shared" si="36"/>
        <v/>
      </c>
      <c r="O32" s="2" t="str">
        <f t="shared" si="36"/>
        <v/>
      </c>
      <c r="P32" s="2" t="str">
        <f t="shared" si="36"/>
        <v/>
      </c>
      <c r="Q32" s="2" t="str">
        <f t="shared" si="37"/>
        <v/>
      </c>
      <c r="R32" s="105" t="str">
        <f t="shared" si="52"/>
        <v/>
      </c>
      <c r="S32" s="105" t="str">
        <f>IF(LEFT($F32,1)="*",IF(VLOOKUP($H32,ELENCHI!$BG$24:$BO$123,5,FALSE)=LEN(R32),0,1),"")</f>
        <v/>
      </c>
      <c r="T32" s="105" t="str">
        <f>IF(S32=0,IFERROR(LEFT(R32,VLOOKUP($H32,ELENCHI!$BG$24:$CB$123,5,FALSE)-VLOOKUP($H32,ELENCHI!$BG$24:$CB$123,10,FALSE))&amp;IF(VLOOKUP($H32,ELENCHI!$BG$24:$CB$123,10,FALSE)=0,"",",")&amp;RIGHT(R32,VLOOKUP($H32,ELENCHI!$BG$24:$CB$123,10,FALSE)),""),"!!!")</f>
        <v>!!!</v>
      </c>
      <c r="U32" s="2" t="str">
        <f t="shared" si="41"/>
        <v/>
      </c>
      <c r="V32" s="2" t="str">
        <f>IF(LEFT($F32,1)="*",IF(VLOOKUP($H32,ELENCHI!$BG$24:$BO$123,6,FALSE)=LEN(U32),0,1),"")</f>
        <v/>
      </c>
      <c r="W32" s="2" t="str">
        <f>IF(V32=0,IFERROR(LEFT(U32,VLOOKUP($H32,ELENCHI!$BG$24:$CB$123,6,FALSE)-VLOOKUP($H32,ELENCHI!$BG$24:$CB$123,11,FALSE))&amp;IF(VLOOKUP($H32,ELENCHI!$BG$24:$CB$123,11,FALSE)=0,"",",")&amp;RIGHT(U32,VLOOKUP($H32,ELENCHI!$BG$24:$CB$123,11,FALSE)),""),"!!!")</f>
        <v>!!!</v>
      </c>
      <c r="X32" s="105" t="str">
        <f t="shared" si="42"/>
        <v/>
      </c>
      <c r="Y32" s="105" t="str">
        <f>IF(LEFT($F32,1)="*",IF(VLOOKUP($H32,ELENCHI!$BG$24:$BO$123,7,FALSE)=LEN(X32),0,1),"")</f>
        <v/>
      </c>
      <c r="Z32" s="105" t="str">
        <f>IF(Y32=0,IFERROR(LEFT(X32,VLOOKUP($H32,ELENCHI!$BG$24:$CB$123,7,FALSE)-VLOOKUP($H32,ELENCHI!$BG$24:$CB$123,12,FALSE))&amp;IF(VLOOKUP($H32,ELENCHI!$BG$24:$CB$123,12,FALSE)=0,"",",")&amp;RIGHT(X32,VLOOKUP($H32,ELENCHI!$BG$24:$CB$123,12,FALSE)),""),"!!!")</f>
        <v>!!!</v>
      </c>
      <c r="AA32" s="113" t="str">
        <f t="shared" si="43"/>
        <v/>
      </c>
      <c r="AB32" s="113" t="str">
        <f>IF(LEFT($F32,1)="*",IF(VLOOKUP($H32,ELENCHI!$BG$24:$BO$123,8,FALSE)=LEN(AA32),0,1),"")</f>
        <v/>
      </c>
      <c r="AC32" s="113" t="str">
        <f>IF(AB32=0,IFERROR(LEFT(AA32,VLOOKUP($H32,ELENCHI!$BG$24:$CB$123,8,FALSE)-VLOOKUP($H32,ELENCHI!$BG$24:$CB$123,13,FALSE))&amp;IF(VLOOKUP($H32,ELENCHI!$BG$24:$CB$123,13,FALSE)=0,"",",")&amp;RIGHT(AA32,VLOOKUP($H32,ELENCHI!$BG$24:$CB$123,13,FALSE)),""),"!!!")</f>
        <v>!!!</v>
      </c>
      <c r="AD32" s="105" t="str">
        <f t="shared" si="44"/>
        <v/>
      </c>
      <c r="AE32" s="105" t="str">
        <f>IF(LEFT($F32,1)="*",IF(VLOOKUP($H32,ELENCHI!$BG$24:$BO$123,9,FALSE)=LEN(AD32),0,1),"")</f>
        <v/>
      </c>
      <c r="AF32" s="105" t="str">
        <f>IF(AE32=0,IFERROR(LEFT(AD32,VLOOKUP($H32,ELENCHI!$BG$24:$CB$123,9,FALSE)-VLOOKUP($H32,ELENCHI!$BG$24:$CB$123,14,FALSE))&amp;IF(VLOOKUP($H32,ELENCHI!$BG$24:$CB$123,14,FALSE)=0,"",",")&amp;RIGHT(AD32,VLOOKUP($H32,ELENCHI!$BG$24:$CB$123,14,FALSE)),""),"!!!")</f>
        <v>!!!</v>
      </c>
      <c r="AG32" s="117">
        <f t="shared" si="45"/>
        <v>0</v>
      </c>
      <c r="AH32" s="2" t="str">
        <f>AM31&amp;IF(H32&lt;&gt;0,VLOOKUP($H32,ELENCHI!$BG$24:$CB$123,16,FALSE)&amp;T32&amp;VLOOKUP($H32,ELENCHI!$BG$24:$CB$123,17,FALSE)&amp;W32&amp;VLOOKUP($H32,ELENCHI!$BG$24:$CB$123,18,FALSE)&amp;Z32&amp;VLOOKUP($H32,ELENCHI!$BG$24:$CB$123,19,FALSE)&amp;AC32&amp;VLOOKUP($H32,ELENCHI!$BG$24:$CB$123,20,FALSE)&amp;AF32&amp;CHAR(10),I32&amp;IF(IFERROR(FIND(CHAR(10),LEFT(B32,LUNGH),1),0)&gt;0,CHAR(10),""))</f>
        <v/>
      </c>
      <c r="AI32" s="3" t="str">
        <f t="shared" si="46"/>
        <v xml:space="preserve"> </v>
      </c>
      <c r="AJ32" s="3">
        <f t="shared" si="47"/>
        <v>999</v>
      </c>
      <c r="AK32" s="3">
        <f t="shared" si="48"/>
        <v>999</v>
      </c>
      <c r="AL32" s="114" t="str">
        <f t="shared" si="38"/>
        <v xml:space="preserve">                                                     </v>
      </c>
      <c r="AM32" s="20" t="str">
        <f t="shared" si="39"/>
        <v/>
      </c>
      <c r="AN32" s="2">
        <f t="shared" si="49"/>
        <v>4</v>
      </c>
      <c r="AO32" s="462" t="str">
        <f t="shared" si="50"/>
        <v xml:space="preserve">                                                     </v>
      </c>
      <c r="AP32" s="462" t="str">
        <f t="shared" si="51"/>
        <v xml:space="preserve">4                                                            
</v>
      </c>
    </row>
    <row r="33" spans="1:42" x14ac:dyDescent="0.25">
      <c r="A33" s="2">
        <f>IF(NUMRD+(ROW()-ROW($A$28))+SUM(STRINGA!$I$7:$M$7)&lt;=NUMRD*2+NUMRDJ,ROW()-ROW($A$28),"")</f>
        <v>5</v>
      </c>
      <c r="B33" s="14" t="str">
        <f t="shared" si="27"/>
        <v/>
      </c>
      <c r="C33" s="433" t="str">
        <f t="shared" si="28"/>
        <v xml:space="preserve"> </v>
      </c>
      <c r="D33" s="3">
        <f t="shared" si="40"/>
        <v>999</v>
      </c>
      <c r="E33" s="3">
        <f t="shared" si="29"/>
        <v>999</v>
      </c>
      <c r="F33" s="19" t="str">
        <f t="shared" si="30"/>
        <v xml:space="preserve">                                                     </v>
      </c>
      <c r="G33" s="20" t="str">
        <f t="shared" si="31"/>
        <v/>
      </c>
      <c r="H33" s="3">
        <f t="shared" si="32"/>
        <v>0</v>
      </c>
      <c r="I33" s="2" t="str">
        <f t="shared" si="33"/>
        <v/>
      </c>
      <c r="J33" s="2">
        <f t="shared" si="34"/>
        <v>53</v>
      </c>
      <c r="K33" s="3" t="str">
        <f t="shared" si="35"/>
        <v>0</v>
      </c>
      <c r="L33" s="2" t="str">
        <f t="shared" si="36"/>
        <v/>
      </c>
      <c r="M33" s="2" t="str">
        <f t="shared" si="36"/>
        <v/>
      </c>
      <c r="N33" s="2" t="str">
        <f t="shared" si="36"/>
        <v/>
      </c>
      <c r="O33" s="2" t="str">
        <f t="shared" si="36"/>
        <v/>
      </c>
      <c r="P33" s="2" t="str">
        <f t="shared" si="36"/>
        <v/>
      </c>
      <c r="Q33" s="2" t="str">
        <f t="shared" si="37"/>
        <v/>
      </c>
      <c r="R33" s="105" t="str">
        <f t="shared" si="52"/>
        <v/>
      </c>
      <c r="S33" s="105" t="str">
        <f>IF(LEFT($F33,1)="*",IF(VLOOKUP($H33,ELENCHI!$BG$24:$BO$123,5,FALSE)=LEN(R33),0,1),"")</f>
        <v/>
      </c>
      <c r="T33" s="105" t="str">
        <f>IF(S33=0,IFERROR(LEFT(R33,VLOOKUP($H33,ELENCHI!$BG$24:$CB$123,5,FALSE)-VLOOKUP($H33,ELENCHI!$BG$24:$CB$123,10,FALSE))&amp;IF(VLOOKUP($H33,ELENCHI!$BG$24:$CB$123,10,FALSE)=0,"",",")&amp;RIGHT(R33,VLOOKUP($H33,ELENCHI!$BG$24:$CB$123,10,FALSE)),""),"!!!")</f>
        <v>!!!</v>
      </c>
      <c r="U33" s="2" t="str">
        <f t="shared" si="41"/>
        <v/>
      </c>
      <c r="V33" s="2" t="str">
        <f>IF(LEFT($F33,1)="*",IF(VLOOKUP($H33,ELENCHI!$BG$24:$BO$123,6,FALSE)=LEN(U33),0,1),"")</f>
        <v/>
      </c>
      <c r="W33" s="2" t="str">
        <f>IF(V33=0,IFERROR(LEFT(U33,VLOOKUP($H33,ELENCHI!$BG$24:$CB$123,6,FALSE)-VLOOKUP($H33,ELENCHI!$BG$24:$CB$123,11,FALSE))&amp;IF(VLOOKUP($H33,ELENCHI!$BG$24:$CB$123,11,FALSE)=0,"",",")&amp;RIGHT(U33,VLOOKUP($H33,ELENCHI!$BG$24:$CB$123,11,FALSE)),""),"!!!")</f>
        <v>!!!</v>
      </c>
      <c r="X33" s="105" t="str">
        <f t="shared" si="42"/>
        <v/>
      </c>
      <c r="Y33" s="105" t="str">
        <f>IF(LEFT($F33,1)="*",IF(VLOOKUP($H33,ELENCHI!$BG$24:$BO$123,7,FALSE)=LEN(X33),0,1),"")</f>
        <v/>
      </c>
      <c r="Z33" s="105" t="str">
        <f>IF(Y33=0,IFERROR(LEFT(X33,VLOOKUP($H33,ELENCHI!$BG$24:$CB$123,7,FALSE)-VLOOKUP($H33,ELENCHI!$BG$24:$CB$123,12,FALSE))&amp;IF(VLOOKUP($H33,ELENCHI!$BG$24:$CB$123,12,FALSE)=0,"",",")&amp;RIGHT(X33,VLOOKUP($H33,ELENCHI!$BG$24:$CB$123,12,FALSE)),""),"!!!")</f>
        <v>!!!</v>
      </c>
      <c r="AA33" s="113" t="str">
        <f t="shared" si="43"/>
        <v/>
      </c>
      <c r="AB33" s="113" t="str">
        <f>IF(LEFT($F33,1)="*",IF(VLOOKUP($H33,ELENCHI!$BG$24:$BO$123,8,FALSE)=LEN(AA33),0,1),"")</f>
        <v/>
      </c>
      <c r="AC33" s="113" t="str">
        <f>IF(AB33=0,IFERROR(LEFT(AA33,VLOOKUP($H33,ELENCHI!$BG$24:$CB$123,8,FALSE)-VLOOKUP($H33,ELENCHI!$BG$24:$CB$123,13,FALSE))&amp;IF(VLOOKUP($H33,ELENCHI!$BG$24:$CB$123,13,FALSE)=0,"",",")&amp;RIGHT(AA33,VLOOKUP($H33,ELENCHI!$BG$24:$CB$123,13,FALSE)),""),"!!!")</f>
        <v>!!!</v>
      </c>
      <c r="AD33" s="105" t="str">
        <f t="shared" si="44"/>
        <v/>
      </c>
      <c r="AE33" s="105" t="str">
        <f>IF(LEFT($F33,1)="*",IF(VLOOKUP($H33,ELENCHI!$BG$24:$BO$123,9,FALSE)=LEN(AD33),0,1),"")</f>
        <v/>
      </c>
      <c r="AF33" s="105" t="str">
        <f>IF(AE33=0,IFERROR(LEFT(AD33,VLOOKUP($H33,ELENCHI!$BG$24:$CB$123,9,FALSE)-VLOOKUP($H33,ELENCHI!$BG$24:$CB$123,14,FALSE))&amp;IF(VLOOKUP($H33,ELENCHI!$BG$24:$CB$123,14,FALSE)=0,"",",")&amp;RIGHT(AD33,VLOOKUP($H33,ELENCHI!$BG$24:$CB$123,14,FALSE)),""),"!!!")</f>
        <v>!!!</v>
      </c>
      <c r="AG33" s="117">
        <f t="shared" si="45"/>
        <v>0</v>
      </c>
      <c r="AH33" s="2" t="str">
        <f>AM32&amp;IF(H33&lt;&gt;0,VLOOKUP($H33,ELENCHI!$BG$24:$CB$123,16,FALSE)&amp;T33&amp;VLOOKUP($H33,ELENCHI!$BG$24:$CB$123,17,FALSE)&amp;W33&amp;VLOOKUP($H33,ELENCHI!$BG$24:$CB$123,18,FALSE)&amp;Z33&amp;VLOOKUP($H33,ELENCHI!$BG$24:$CB$123,19,FALSE)&amp;AC33&amp;VLOOKUP($H33,ELENCHI!$BG$24:$CB$123,20,FALSE)&amp;AF33&amp;CHAR(10),I33&amp;IF(IFERROR(FIND(CHAR(10),LEFT(B33,LUNGH),1),0)&gt;0,CHAR(10),""))</f>
        <v/>
      </c>
      <c r="AI33" s="3" t="str">
        <f t="shared" si="46"/>
        <v xml:space="preserve"> </v>
      </c>
      <c r="AJ33" s="3">
        <f t="shared" si="47"/>
        <v>999</v>
      </c>
      <c r="AK33" s="3">
        <f t="shared" si="48"/>
        <v>999</v>
      </c>
      <c r="AL33" s="114" t="str">
        <f t="shared" si="38"/>
        <v xml:space="preserve">                                                     </v>
      </c>
      <c r="AM33" s="20" t="str">
        <f t="shared" si="39"/>
        <v/>
      </c>
      <c r="AN33" s="2">
        <f t="shared" si="49"/>
        <v>5</v>
      </c>
      <c r="AO33" s="462" t="str">
        <f t="shared" si="50"/>
        <v xml:space="preserve">                                                     </v>
      </c>
      <c r="AP33" s="462" t="str">
        <f t="shared" si="51"/>
        <v xml:space="preserve">5                                                            
</v>
      </c>
    </row>
    <row r="34" spans="1:42" x14ac:dyDescent="0.25">
      <c r="A34" s="2">
        <f>IF(NUMRD+(ROW()-ROW($A$28))+SUM(STRINGA!$I$7:$M$7)&lt;=NUMRD*2+NUMRDJ,ROW()-ROW($A$28),"")</f>
        <v>6</v>
      </c>
      <c r="B34" s="14" t="str">
        <f t="shared" si="27"/>
        <v/>
      </c>
      <c r="C34" s="433" t="str">
        <f t="shared" si="28"/>
        <v xml:space="preserve"> </v>
      </c>
      <c r="D34" s="3">
        <f t="shared" si="40"/>
        <v>999</v>
      </c>
      <c r="E34" s="3">
        <f>IFERROR(FIND(CHAR(10),B34,2)-1-IF(LEFT(B34,1)=CHAR(10),1,0),999)</f>
        <v>999</v>
      </c>
      <c r="F34" s="19" t="str">
        <f t="shared" si="30"/>
        <v xml:space="preserve">                                                     </v>
      </c>
      <c r="G34" s="20" t="str">
        <f t="shared" si="31"/>
        <v/>
      </c>
      <c r="H34" s="3">
        <f t="shared" si="32"/>
        <v>0</v>
      </c>
      <c r="I34" s="2" t="str">
        <f t="shared" si="33"/>
        <v/>
      </c>
      <c r="J34" s="2">
        <f t="shared" si="34"/>
        <v>53</v>
      </c>
      <c r="K34" s="3" t="str">
        <f t="shared" si="35"/>
        <v>0</v>
      </c>
      <c r="L34" s="2" t="str">
        <f t="shared" si="36"/>
        <v/>
      </c>
      <c r="M34" s="2" t="str">
        <f t="shared" si="36"/>
        <v/>
      </c>
      <c r="N34" s="2" t="str">
        <f t="shared" si="36"/>
        <v/>
      </c>
      <c r="O34" s="2" t="str">
        <f t="shared" si="36"/>
        <v/>
      </c>
      <c r="P34" s="2" t="str">
        <f t="shared" si="36"/>
        <v/>
      </c>
      <c r="Q34" s="2" t="str">
        <f t="shared" si="37"/>
        <v/>
      </c>
      <c r="R34" s="105" t="str">
        <f t="shared" si="52"/>
        <v/>
      </c>
      <c r="S34" s="105" t="str">
        <f>IF(LEFT($F34,1)="*",IF(VLOOKUP($H34,ELENCHI!$BG$24:$BO$123,5,FALSE)=LEN(R34),0,1),"")</f>
        <v/>
      </c>
      <c r="T34" s="105" t="str">
        <f>IF(S34=0,IFERROR(LEFT(R34,VLOOKUP($H34,ELENCHI!$BG$24:$CB$123,5,FALSE)-VLOOKUP($H34,ELENCHI!$BG$24:$CB$123,10,FALSE))&amp;IF(VLOOKUP($H34,ELENCHI!$BG$24:$CB$123,10,FALSE)=0,"",",")&amp;RIGHT(R34,VLOOKUP($H34,ELENCHI!$BG$24:$CB$123,10,FALSE)),""),"!!!")</f>
        <v>!!!</v>
      </c>
      <c r="U34" s="2" t="str">
        <f t="shared" si="41"/>
        <v/>
      </c>
      <c r="V34" s="2" t="str">
        <f>IF(LEFT($F34,1)="*",IF(VLOOKUP($H34,ELENCHI!$BG$24:$BO$123,6,FALSE)=LEN(U34),0,1),"")</f>
        <v/>
      </c>
      <c r="W34" s="2" t="str">
        <f>IF(V34=0,IFERROR(LEFT(U34,VLOOKUP($H34,ELENCHI!$BG$24:$CB$123,6,FALSE)-VLOOKUP($H34,ELENCHI!$BG$24:$CB$123,11,FALSE))&amp;IF(VLOOKUP($H34,ELENCHI!$BG$24:$CB$123,11,FALSE)=0,"",",")&amp;RIGHT(U34,VLOOKUP($H34,ELENCHI!$BG$24:$CB$123,11,FALSE)),""),"!!!")</f>
        <v>!!!</v>
      </c>
      <c r="X34" s="105" t="str">
        <f t="shared" si="42"/>
        <v/>
      </c>
      <c r="Y34" s="105" t="str">
        <f>IF(LEFT($F34,1)="*",IF(VLOOKUP($H34,ELENCHI!$BG$24:$BO$123,7,FALSE)=LEN(X34),0,1),"")</f>
        <v/>
      </c>
      <c r="Z34" s="105" t="str">
        <f>IF(Y34=0,IFERROR(LEFT(X34,VLOOKUP($H34,ELENCHI!$BG$24:$CB$123,7,FALSE)-VLOOKUP($H34,ELENCHI!$BG$24:$CB$123,12,FALSE))&amp;IF(VLOOKUP($H34,ELENCHI!$BG$24:$CB$123,12,FALSE)=0,"",",")&amp;RIGHT(X34,VLOOKUP($H34,ELENCHI!$BG$24:$CB$123,12,FALSE)),""),"!!!")</f>
        <v>!!!</v>
      </c>
      <c r="AA34" s="113" t="str">
        <f t="shared" si="43"/>
        <v/>
      </c>
      <c r="AB34" s="113" t="str">
        <f>IF(LEFT($F34,1)="*",IF(VLOOKUP($H34,ELENCHI!$BG$24:$BO$123,8,FALSE)=LEN(AA34),0,1),"")</f>
        <v/>
      </c>
      <c r="AC34" s="113" t="str">
        <f>IF(AB34=0,IFERROR(LEFT(AA34,VLOOKUP($H34,ELENCHI!$BG$24:$CB$123,8,FALSE)-VLOOKUP($H34,ELENCHI!$BG$24:$CB$123,13,FALSE))&amp;IF(VLOOKUP($H34,ELENCHI!$BG$24:$CB$123,13,FALSE)=0,"",",")&amp;RIGHT(AA34,VLOOKUP($H34,ELENCHI!$BG$24:$CB$123,13,FALSE)),""),"!!!")</f>
        <v>!!!</v>
      </c>
      <c r="AD34" s="105" t="str">
        <f t="shared" si="44"/>
        <v/>
      </c>
      <c r="AE34" s="105" t="str">
        <f>IF(LEFT($F34,1)="*",IF(VLOOKUP($H34,ELENCHI!$BG$24:$BO$123,9,FALSE)=LEN(AD34),0,1),"")</f>
        <v/>
      </c>
      <c r="AF34" s="105" t="str">
        <f>IF(AE34=0,IFERROR(LEFT(AD34,VLOOKUP($H34,ELENCHI!$BG$24:$CB$123,9,FALSE)-VLOOKUP($H34,ELENCHI!$BG$24:$CB$123,14,FALSE))&amp;IF(VLOOKUP($H34,ELENCHI!$BG$24:$CB$123,14,FALSE)=0,"",",")&amp;RIGHT(AD34,VLOOKUP($H34,ELENCHI!$BG$24:$CB$123,14,FALSE)),""),"!!!")</f>
        <v>!!!</v>
      </c>
      <c r="AG34" s="117">
        <f t="shared" si="45"/>
        <v>0</v>
      </c>
      <c r="AH34" s="2" t="str">
        <f>AM33&amp;IF(H34&lt;&gt;0,VLOOKUP($H34,ELENCHI!$BG$24:$CB$123,16,FALSE)&amp;T34&amp;VLOOKUP($H34,ELENCHI!$BG$24:$CB$123,17,FALSE)&amp;W34&amp;VLOOKUP($H34,ELENCHI!$BG$24:$CB$123,18,FALSE)&amp;Z34&amp;VLOOKUP($H34,ELENCHI!$BG$24:$CB$123,19,FALSE)&amp;AC34&amp;VLOOKUP($H34,ELENCHI!$BG$24:$CB$123,20,FALSE)&amp;AF34&amp;CHAR(10),I34&amp;IF(IFERROR(FIND(CHAR(10),LEFT(B34,LUNGH),1),0)&gt;0,CHAR(10),""))</f>
        <v/>
      </c>
      <c r="AI34" s="3" t="str">
        <f t="shared" si="46"/>
        <v xml:space="preserve"> </v>
      </c>
      <c r="AJ34" s="3">
        <f t="shared" si="47"/>
        <v>999</v>
      </c>
      <c r="AK34" s="3">
        <f t="shared" si="48"/>
        <v>999</v>
      </c>
      <c r="AL34" s="114" t="str">
        <f t="shared" si="38"/>
        <v xml:space="preserve">                                                     </v>
      </c>
      <c r="AM34" s="20" t="str">
        <f t="shared" si="39"/>
        <v/>
      </c>
      <c r="AN34" s="2">
        <f t="shared" si="49"/>
        <v>6</v>
      </c>
      <c r="AO34" s="462" t="str">
        <f t="shared" si="50"/>
        <v xml:space="preserve">                                                     </v>
      </c>
      <c r="AP34" s="462" t="str">
        <f t="shared" si="51"/>
        <v xml:space="preserve">6                                                            
</v>
      </c>
    </row>
    <row r="35" spans="1:42" x14ac:dyDescent="0.25">
      <c r="A35" s="2">
        <f>IF(NUMRD+(ROW()-ROW($A$28))+SUM(STRINGA!$I$7:$M$7)&lt;=NUMRD*2+NUMRDJ,ROW()-ROW($A$28),"")</f>
        <v>7</v>
      </c>
      <c r="B35" s="14" t="str">
        <f t="shared" si="27"/>
        <v/>
      </c>
      <c r="C35" s="433" t="str">
        <f t="shared" si="28"/>
        <v xml:space="preserve"> </v>
      </c>
      <c r="D35" s="3">
        <f t="shared" si="40"/>
        <v>999</v>
      </c>
      <c r="E35" s="3">
        <f t="shared" ref="E35:E37" si="53">IFERROR(FIND(CHAR(10),B35,2)-1-IF(LEFT(B35,1)=CHAR(10),1,0),999)</f>
        <v>999</v>
      </c>
      <c r="F35" s="19" t="str">
        <f t="shared" si="30"/>
        <v xml:space="preserve">                                                     </v>
      </c>
      <c r="G35" s="20" t="str">
        <f t="shared" si="31"/>
        <v/>
      </c>
      <c r="H35" s="3">
        <f t="shared" si="32"/>
        <v>0</v>
      </c>
      <c r="I35" s="2" t="str">
        <f t="shared" si="33"/>
        <v/>
      </c>
      <c r="J35" s="2">
        <f t="shared" si="34"/>
        <v>53</v>
      </c>
      <c r="K35" s="3" t="str">
        <f t="shared" si="35"/>
        <v>0</v>
      </c>
      <c r="L35" s="2" t="str">
        <f t="shared" si="36"/>
        <v/>
      </c>
      <c r="M35" s="2" t="str">
        <f t="shared" si="36"/>
        <v/>
      </c>
      <c r="N35" s="2" t="str">
        <f t="shared" si="36"/>
        <v/>
      </c>
      <c r="O35" s="2" t="str">
        <f t="shared" si="36"/>
        <v/>
      </c>
      <c r="P35" s="2" t="str">
        <f t="shared" si="36"/>
        <v/>
      </c>
      <c r="Q35" s="2" t="str">
        <f t="shared" si="37"/>
        <v/>
      </c>
      <c r="R35" s="105" t="str">
        <f t="shared" si="52"/>
        <v/>
      </c>
      <c r="S35" s="105" t="str">
        <f>IF(LEFT($F35,1)="*",IF(VLOOKUP($H35,ELENCHI!$BG$24:$BO$123,5,FALSE)=LEN(R35),0,1),"")</f>
        <v/>
      </c>
      <c r="T35" s="105" t="str">
        <f>IF(S35=0,IFERROR(LEFT(R35,VLOOKUP($H35,ELENCHI!$BG$24:$CB$123,5,FALSE)-VLOOKUP($H35,ELENCHI!$BG$24:$CB$123,10,FALSE))&amp;IF(VLOOKUP($H35,ELENCHI!$BG$24:$CB$123,10,FALSE)=0,"",",")&amp;RIGHT(R35,VLOOKUP($H35,ELENCHI!$BG$24:$CB$123,10,FALSE)),""),"!!!")</f>
        <v>!!!</v>
      </c>
      <c r="U35" s="2" t="str">
        <f t="shared" si="41"/>
        <v/>
      </c>
      <c r="V35" s="2" t="str">
        <f>IF(LEFT($F35,1)="*",IF(VLOOKUP($H35,ELENCHI!$BG$24:$BO$123,6,FALSE)=LEN(U35),0,1),"")</f>
        <v/>
      </c>
      <c r="W35" s="2" t="str">
        <f>IF(V35=0,IFERROR(LEFT(U35,VLOOKUP($H35,ELENCHI!$BG$24:$CB$123,6,FALSE)-VLOOKUP($H35,ELENCHI!$BG$24:$CB$123,11,FALSE))&amp;IF(VLOOKUP($H35,ELENCHI!$BG$24:$CB$123,11,FALSE)=0,"",",")&amp;RIGHT(U35,VLOOKUP($H35,ELENCHI!$BG$24:$CB$123,11,FALSE)),""),"!!!")</f>
        <v>!!!</v>
      </c>
      <c r="X35" s="105" t="str">
        <f t="shared" si="42"/>
        <v/>
      </c>
      <c r="Y35" s="105" t="str">
        <f>IF(LEFT($F35,1)="*",IF(VLOOKUP($H35,ELENCHI!$BG$24:$BO$123,7,FALSE)=LEN(X35),0,1),"")</f>
        <v/>
      </c>
      <c r="Z35" s="105" t="str">
        <f>IF(Y35=0,IFERROR(LEFT(X35,VLOOKUP($H35,ELENCHI!$BG$24:$CB$123,7,FALSE)-VLOOKUP($H35,ELENCHI!$BG$24:$CB$123,12,FALSE))&amp;IF(VLOOKUP($H35,ELENCHI!$BG$24:$CB$123,12,FALSE)=0,"",",")&amp;RIGHT(X35,VLOOKUP($H35,ELENCHI!$BG$24:$CB$123,12,FALSE)),""),"!!!")</f>
        <v>!!!</v>
      </c>
      <c r="AA35" s="113" t="str">
        <f t="shared" si="43"/>
        <v/>
      </c>
      <c r="AB35" s="113" t="str">
        <f>IF(LEFT($F35,1)="*",IF(VLOOKUP($H35,ELENCHI!$BG$24:$BO$123,8,FALSE)=LEN(AA35),0,1),"")</f>
        <v/>
      </c>
      <c r="AC35" s="113" t="str">
        <f>IF(AB35=0,IFERROR(LEFT(AA35,VLOOKUP($H35,ELENCHI!$BG$24:$CB$123,8,FALSE)-VLOOKUP($H35,ELENCHI!$BG$24:$CB$123,13,FALSE))&amp;IF(VLOOKUP($H35,ELENCHI!$BG$24:$CB$123,13,FALSE)=0,"",",")&amp;RIGHT(AA35,VLOOKUP($H35,ELENCHI!$BG$24:$CB$123,13,FALSE)),""),"!!!")</f>
        <v>!!!</v>
      </c>
      <c r="AD35" s="105" t="str">
        <f t="shared" si="44"/>
        <v/>
      </c>
      <c r="AE35" s="105" t="str">
        <f>IF(LEFT($F35,1)="*",IF(VLOOKUP($H35,ELENCHI!$BG$24:$BO$123,9,FALSE)=LEN(AD35),0,1),"")</f>
        <v/>
      </c>
      <c r="AF35" s="105" t="str">
        <f>IF(AE35=0,IFERROR(LEFT(AD35,VLOOKUP($H35,ELENCHI!$BG$24:$CB$123,9,FALSE)-VLOOKUP($H35,ELENCHI!$BG$24:$CB$123,14,FALSE))&amp;IF(VLOOKUP($H35,ELENCHI!$BG$24:$CB$123,14,FALSE)=0,"",",")&amp;RIGHT(AD35,VLOOKUP($H35,ELENCHI!$BG$24:$CB$123,14,FALSE)),""),"!!!")</f>
        <v>!!!</v>
      </c>
      <c r="AG35" s="117">
        <f t="shared" si="45"/>
        <v>0</v>
      </c>
      <c r="AH35" s="2" t="str">
        <f>AM34&amp;IF(H35&lt;&gt;0,VLOOKUP($H35,ELENCHI!$BG$24:$CB$123,16,FALSE)&amp;T35&amp;VLOOKUP($H35,ELENCHI!$BG$24:$CB$123,17,FALSE)&amp;W35&amp;VLOOKUP($H35,ELENCHI!$BG$24:$CB$123,18,FALSE)&amp;Z35&amp;VLOOKUP($H35,ELENCHI!$BG$24:$CB$123,19,FALSE)&amp;AC35&amp;VLOOKUP($H35,ELENCHI!$BG$24:$CB$123,20,FALSE)&amp;AF35&amp;CHAR(10),I35&amp;IF(IFERROR(FIND(CHAR(10),LEFT(B35,LUNGH),1),0)&gt;0,CHAR(10),""))</f>
        <v/>
      </c>
      <c r="AI35" s="3" t="str">
        <f t="shared" si="46"/>
        <v xml:space="preserve"> </v>
      </c>
      <c r="AJ35" s="3">
        <f t="shared" si="47"/>
        <v>999</v>
      </c>
      <c r="AK35" s="3">
        <f t="shared" si="48"/>
        <v>999</v>
      </c>
      <c r="AL35" s="114" t="str">
        <f t="shared" si="38"/>
        <v xml:space="preserve">                                                     </v>
      </c>
      <c r="AM35" s="20" t="str">
        <f t="shared" si="39"/>
        <v/>
      </c>
      <c r="AN35" s="2">
        <f t="shared" si="49"/>
        <v>7</v>
      </c>
      <c r="AO35" s="462" t="str">
        <f t="shared" si="50"/>
        <v xml:space="preserve">                                                     </v>
      </c>
      <c r="AP35" s="462" t="str">
        <f t="shared" si="51"/>
        <v xml:space="preserve">7                                                            
</v>
      </c>
    </row>
    <row r="36" spans="1:42" x14ac:dyDescent="0.25">
      <c r="A36" s="2">
        <f>IF(NUMRD+(ROW()-ROW($A$28))+SUM(STRINGA!$I$7:$M$7)&lt;=NUMRD*2+NUMRDJ,ROW()-ROW($A$28),"")</f>
        <v>8</v>
      </c>
      <c r="B36" s="14" t="str">
        <f t="shared" si="27"/>
        <v/>
      </c>
      <c r="C36" s="433" t="str">
        <f t="shared" si="28"/>
        <v xml:space="preserve"> </v>
      </c>
      <c r="D36" s="3">
        <f t="shared" si="40"/>
        <v>999</v>
      </c>
      <c r="E36" s="3">
        <f t="shared" si="53"/>
        <v>999</v>
      </c>
      <c r="F36" s="19" t="str">
        <f t="shared" si="30"/>
        <v xml:space="preserve">                                                     </v>
      </c>
      <c r="G36" s="20" t="str">
        <f t="shared" si="31"/>
        <v/>
      </c>
      <c r="H36" s="3">
        <f t="shared" si="32"/>
        <v>0</v>
      </c>
      <c r="I36" s="2" t="str">
        <f t="shared" si="33"/>
        <v/>
      </c>
      <c r="J36" s="2">
        <f t="shared" si="34"/>
        <v>53</v>
      </c>
      <c r="K36" s="3" t="str">
        <f t="shared" si="35"/>
        <v>0</v>
      </c>
      <c r="L36" s="2" t="str">
        <f t="shared" si="36"/>
        <v/>
      </c>
      <c r="M36" s="2" t="str">
        <f t="shared" si="36"/>
        <v/>
      </c>
      <c r="N36" s="2" t="str">
        <f t="shared" si="36"/>
        <v/>
      </c>
      <c r="O36" s="2" t="str">
        <f t="shared" si="36"/>
        <v/>
      </c>
      <c r="P36" s="2" t="str">
        <f t="shared" si="36"/>
        <v/>
      </c>
      <c r="Q36" s="2" t="str">
        <f t="shared" si="37"/>
        <v/>
      </c>
      <c r="R36" s="105" t="str">
        <f t="shared" si="52"/>
        <v/>
      </c>
      <c r="S36" s="105" t="str">
        <f>IF(LEFT($F36,1)="*",IF(VLOOKUP($H36,ELENCHI!$BG$24:$BO$123,5,FALSE)=LEN(R36),0,1),"")</f>
        <v/>
      </c>
      <c r="T36" s="105" t="str">
        <f>IF(S36=0,IFERROR(LEFT(R36,VLOOKUP($H36,ELENCHI!$BG$24:$CB$123,5,FALSE)-VLOOKUP($H36,ELENCHI!$BG$24:$CB$123,10,FALSE))&amp;IF(VLOOKUP($H36,ELENCHI!$BG$24:$CB$123,10,FALSE)=0,"",",")&amp;RIGHT(R36,VLOOKUP($H36,ELENCHI!$BG$24:$CB$123,10,FALSE)),""),"!!!")</f>
        <v>!!!</v>
      </c>
      <c r="U36" s="2" t="str">
        <f t="shared" si="41"/>
        <v/>
      </c>
      <c r="V36" s="2" t="str">
        <f>IF(LEFT($F36,1)="*",IF(VLOOKUP($H36,ELENCHI!$BG$24:$BO$123,6,FALSE)=LEN(U36),0,1),"")</f>
        <v/>
      </c>
      <c r="W36" s="2" t="str">
        <f>IF(V36=0,IFERROR(LEFT(U36,VLOOKUP($H36,ELENCHI!$BG$24:$CB$123,6,FALSE)-VLOOKUP($H36,ELENCHI!$BG$24:$CB$123,11,FALSE))&amp;IF(VLOOKUP($H36,ELENCHI!$BG$24:$CB$123,11,FALSE)=0,"",",")&amp;RIGHT(U36,VLOOKUP($H36,ELENCHI!$BG$24:$CB$123,11,FALSE)),""),"!!!")</f>
        <v>!!!</v>
      </c>
      <c r="X36" s="105" t="str">
        <f t="shared" si="42"/>
        <v/>
      </c>
      <c r="Y36" s="105" t="str">
        <f>IF(LEFT($F36,1)="*",IF(VLOOKUP($H36,ELENCHI!$BG$24:$BO$123,7,FALSE)=LEN(X36),0,1),"")</f>
        <v/>
      </c>
      <c r="Z36" s="105" t="str">
        <f>IF(Y36=0,IFERROR(LEFT(X36,VLOOKUP($H36,ELENCHI!$BG$24:$CB$123,7,FALSE)-VLOOKUP($H36,ELENCHI!$BG$24:$CB$123,12,FALSE))&amp;IF(VLOOKUP($H36,ELENCHI!$BG$24:$CB$123,12,FALSE)=0,"",",")&amp;RIGHT(X36,VLOOKUP($H36,ELENCHI!$BG$24:$CB$123,12,FALSE)),""),"!!!")</f>
        <v>!!!</v>
      </c>
      <c r="AA36" s="113" t="str">
        <f t="shared" si="43"/>
        <v/>
      </c>
      <c r="AB36" s="113" t="str">
        <f>IF(LEFT($F36,1)="*",IF(VLOOKUP($H36,ELENCHI!$BG$24:$BO$123,8,FALSE)=LEN(AA36),0,1),"")</f>
        <v/>
      </c>
      <c r="AC36" s="113" t="str">
        <f>IF(AB36=0,IFERROR(LEFT(AA36,VLOOKUP($H36,ELENCHI!$BG$24:$CB$123,8,FALSE)-VLOOKUP($H36,ELENCHI!$BG$24:$CB$123,13,FALSE))&amp;IF(VLOOKUP($H36,ELENCHI!$BG$24:$CB$123,13,FALSE)=0,"",",")&amp;RIGHT(AA36,VLOOKUP($H36,ELENCHI!$BG$24:$CB$123,13,FALSE)),""),"!!!")</f>
        <v>!!!</v>
      </c>
      <c r="AD36" s="105" t="str">
        <f t="shared" si="44"/>
        <v/>
      </c>
      <c r="AE36" s="105" t="str">
        <f>IF(LEFT($F36,1)="*",IF(VLOOKUP($H36,ELENCHI!$BG$24:$BO$123,9,FALSE)=LEN(AD36),0,1),"")</f>
        <v/>
      </c>
      <c r="AF36" s="105" t="str">
        <f>IF(AE36=0,IFERROR(LEFT(AD36,VLOOKUP($H36,ELENCHI!$BG$24:$CB$123,9,FALSE)-VLOOKUP($H36,ELENCHI!$BG$24:$CB$123,14,FALSE))&amp;IF(VLOOKUP($H36,ELENCHI!$BG$24:$CB$123,14,FALSE)=0,"",",")&amp;RIGHT(AD36,VLOOKUP($H36,ELENCHI!$BG$24:$CB$123,14,FALSE)),""),"!!!")</f>
        <v>!!!</v>
      </c>
      <c r="AG36" s="117">
        <f t="shared" si="45"/>
        <v>0</v>
      </c>
      <c r="AH36" s="2" t="str">
        <f>AM35&amp;IF(H36&lt;&gt;0,VLOOKUP($H36,ELENCHI!$BG$24:$CB$123,16,FALSE)&amp;T36&amp;VLOOKUP($H36,ELENCHI!$BG$24:$CB$123,17,FALSE)&amp;W36&amp;VLOOKUP($H36,ELENCHI!$BG$24:$CB$123,18,FALSE)&amp;Z36&amp;VLOOKUP($H36,ELENCHI!$BG$24:$CB$123,19,FALSE)&amp;AC36&amp;VLOOKUP($H36,ELENCHI!$BG$24:$CB$123,20,FALSE)&amp;AF36&amp;CHAR(10),I36&amp;IF(IFERROR(FIND(CHAR(10),LEFT(B36,LUNGH),1),0)&gt;0,CHAR(10),""))</f>
        <v/>
      </c>
      <c r="AI36" s="3" t="str">
        <f t="shared" si="46"/>
        <v xml:space="preserve"> </v>
      </c>
      <c r="AJ36" s="3">
        <f t="shared" si="47"/>
        <v>999</v>
      </c>
      <c r="AK36" s="3">
        <f t="shared" si="48"/>
        <v>999</v>
      </c>
      <c r="AL36" s="114" t="str">
        <f t="shared" si="38"/>
        <v xml:space="preserve">                                                     </v>
      </c>
      <c r="AM36" s="20" t="str">
        <f t="shared" si="39"/>
        <v/>
      </c>
      <c r="AN36" s="2">
        <f t="shared" si="49"/>
        <v>8</v>
      </c>
      <c r="AO36" s="462" t="str">
        <f t="shared" si="50"/>
        <v xml:space="preserve">                                                     </v>
      </c>
      <c r="AP36" s="462" t="str">
        <f t="shared" si="51"/>
        <v xml:space="preserve">8                                                            
</v>
      </c>
    </row>
    <row r="37" spans="1:42" x14ac:dyDescent="0.25">
      <c r="A37" s="117">
        <f>IF(NUMRD+(ROW()-ROW($A$28))+SUM(STRINGA!$I$7:$M$7)&lt;=NUMRD*2+NUMRDJ,ROW()-ROW($A$28),"")</f>
        <v>9</v>
      </c>
      <c r="B37" s="145" t="str">
        <f t="shared" si="27"/>
        <v/>
      </c>
      <c r="C37" s="482" t="str">
        <f t="shared" si="28"/>
        <v xml:space="preserve"> </v>
      </c>
      <c r="D37" s="146">
        <f t="shared" si="40"/>
        <v>999</v>
      </c>
      <c r="E37" s="146">
        <f t="shared" si="53"/>
        <v>999</v>
      </c>
      <c r="F37" s="144" t="str">
        <f t="shared" si="30"/>
        <v xml:space="preserve">                                                     </v>
      </c>
      <c r="G37" s="147" t="str">
        <f t="shared" si="31"/>
        <v/>
      </c>
      <c r="H37" s="146">
        <f t="shared" si="32"/>
        <v>0</v>
      </c>
      <c r="I37" s="143" t="str">
        <f>CLEAN(LEFT(LEFT(CLEAN(B37),MIN(D37,E37)),LUNGH))</f>
        <v/>
      </c>
      <c r="K37" s="4"/>
      <c r="AF37" s="437" t="s">
        <v>803</v>
      </c>
      <c r="AG37" s="423">
        <f>SUM(AG29:AG36)</f>
        <v>0</v>
      </c>
      <c r="AH37" s="2" t="str">
        <f>AM36&amp;IF(H37&lt;&gt;0,VLOOKUP($H37,ELENCHI!$BG$24:$CB$123,16,FALSE)&amp;T37&amp;VLOOKUP($H37,ELENCHI!$BG$24:$CB$123,17,FALSE)&amp;W37&amp;VLOOKUP($H37,ELENCHI!$BG$24:$CB$123,18,FALSE)&amp;Z37&amp;VLOOKUP($H37,ELENCHI!$BG$24:$CB$123,19,FALSE)&amp;AC37&amp;VLOOKUP($H37,ELENCHI!$BG$24:$CB$123,20,FALSE)&amp;AF37&amp;CHAR(10),I37&amp;IF(IFERROR(FIND(CHAR(10),LEFT(B37,LUNGH),1),0)&gt;0,CHAR(10),""))</f>
        <v/>
      </c>
      <c r="AI37" s="3" t="str">
        <f t="shared" si="46"/>
        <v xml:space="preserve"> </v>
      </c>
      <c r="AJ37" s="3">
        <f t="shared" si="47"/>
        <v>999</v>
      </c>
      <c r="AK37" s="3">
        <f t="shared" si="48"/>
        <v>999</v>
      </c>
      <c r="AL37" s="114" t="str">
        <f t="shared" si="38"/>
        <v xml:space="preserve">                                                     </v>
      </c>
      <c r="AM37" s="20" t="str">
        <f t="shared" si="39"/>
        <v/>
      </c>
      <c r="AN37" s="463" t="s">
        <v>778</v>
      </c>
      <c r="AO37" s="463"/>
      <c r="AP37" s="463"/>
    </row>
    <row r="38" spans="1:42" ht="40.5" customHeight="1" x14ac:dyDescent="0.25">
      <c r="A38" s="485" t="s">
        <v>778</v>
      </c>
      <c r="B38" s="48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AF38" s="613" t="s">
        <v>804</v>
      </c>
      <c r="AG38" s="611" t="str">
        <f>IFERROR(IF(AG37&gt;0,": ERRORE, LUNGHEZZA DATI ASTERISCATA","                                    "),":   ERRORE, ASTERISCATA NON IN ELENCO O ERRATA")</f>
        <v xml:space="preserve">                                    </v>
      </c>
      <c r="AH38" s="2" t="str">
        <f>AM37&amp;IF(H38&lt;&gt;0,VLOOKUP($H38,ELENCHI!$BG$24:$CB$123,16,FALSE)&amp;T38&amp;VLOOKUP($H38,ELENCHI!$BG$24:$CB$123,17,FALSE)&amp;W38&amp;VLOOKUP($H38,ELENCHI!$BG$24:$CB$123,18,FALSE)&amp;Z38&amp;VLOOKUP($H38,ELENCHI!$BG$24:$CB$123,19,FALSE)&amp;AC38&amp;VLOOKUP($H38,ELENCHI!$BG$24:$CB$123,20,FALSE)&amp;AF38&amp;CHAR(10),I38&amp;IF(IFERROR(FIND(CHAR(10),LEFT(B38,LUNGH),1),0)&gt;0,CHAR(10),""))</f>
        <v/>
      </c>
      <c r="AI38" s="3" t="str">
        <f t="shared" si="46"/>
        <v xml:space="preserve"> </v>
      </c>
      <c r="AJ38" s="3">
        <f t="shared" si="47"/>
        <v>999</v>
      </c>
      <c r="AK38" s="3">
        <f t="shared" si="48"/>
        <v>999</v>
      </c>
      <c r="AL38" s="114" t="str">
        <f t="shared" si="38"/>
        <v xml:space="preserve">                                                     </v>
      </c>
      <c r="AM38" s="20" t="str">
        <f t="shared" si="39"/>
        <v/>
      </c>
      <c r="AN38" s="608" t="str">
        <f>CONCATENATE(AP29,AP30,AP31,AP32,AP33,AP34,AP35,AP36,)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AO38" s="608"/>
      <c r="AP38" s="608"/>
    </row>
    <row r="39" spans="1:42" ht="45.75" customHeight="1" x14ac:dyDescent="0.25">
      <c r="A39" s="633" t="str">
        <f>CONCATENATE(F29,F30,F31,F32,F33,F34,F35,F36)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39" s="634"/>
      <c r="C39" s="444"/>
      <c r="D39" s="444"/>
      <c r="E39" s="444"/>
      <c r="F39" s="444"/>
      <c r="G39" s="444"/>
      <c r="H39" s="444"/>
      <c r="I39" s="444"/>
      <c r="J39" s="444"/>
      <c r="K39" s="425"/>
      <c r="L39" s="8"/>
      <c r="M39" s="8"/>
      <c r="N39" s="8"/>
      <c r="O39" s="8"/>
      <c r="P39" s="8"/>
      <c r="Q39" s="8"/>
      <c r="AF39" s="613"/>
      <c r="AG39" s="611"/>
      <c r="AH39" s="2" t="str">
        <f>AM38&amp;IF(H39&lt;&gt;0,VLOOKUP($H39,ELENCHI!$BG$24:$CB$123,16,FALSE)&amp;T39&amp;VLOOKUP($H39,ELENCHI!$BG$24:$CB$123,17,FALSE)&amp;W39&amp;VLOOKUP($H39,ELENCHI!$BG$24:$CB$123,18,FALSE)&amp;Z39&amp;VLOOKUP($H39,ELENCHI!$BG$24:$CB$123,19,FALSE)&amp;AC39&amp;VLOOKUP($H39,ELENCHI!$BG$24:$CB$123,20,FALSE)&amp;AF39&amp;CHAR(10),I39&amp;IF(IFERROR(FIND(CHAR(10),LEFT(B39,LUNGH),1),0)&gt;0,CHAR(10),""))</f>
        <v/>
      </c>
      <c r="AI39" s="3" t="str">
        <f t="shared" si="46"/>
        <v xml:space="preserve"> </v>
      </c>
      <c r="AJ39" s="3">
        <f t="shared" si="47"/>
        <v>999</v>
      </c>
      <c r="AK39" s="3">
        <f t="shared" si="48"/>
        <v>999</v>
      </c>
      <c r="AL39" s="114" t="str">
        <f t="shared" si="38"/>
        <v xml:space="preserve">                                                     </v>
      </c>
      <c r="AM39" s="20" t="str">
        <f t="shared" si="39"/>
        <v/>
      </c>
      <c r="AN39" s="608"/>
      <c r="AO39" s="608"/>
      <c r="AP39" s="608"/>
    </row>
    <row r="40" spans="1:42" ht="33" customHeight="1" x14ac:dyDescent="0.25">
      <c r="A40" s="635"/>
      <c r="B40" s="636"/>
      <c r="K40" s="4"/>
      <c r="AF40" s="609" t="s">
        <v>805</v>
      </c>
      <c r="AG40" s="610"/>
      <c r="AH40" s="428" t="str">
        <f>CONCATENATE(AL29,AL30,AL31,AL32,AL33,AL34,AL35,AL36,AL37,AL38,AL39)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40" s="608"/>
      <c r="AO40" s="608"/>
      <c r="AP40" s="608"/>
    </row>
    <row r="41" spans="1:42" x14ac:dyDescent="0.25">
      <c r="A41" s="488"/>
      <c r="B41" s="489"/>
      <c r="K41" s="4"/>
    </row>
    <row r="42" spans="1:42" s="476" customFormat="1" ht="33.75" x14ac:dyDescent="0.5">
      <c r="A42" s="494" t="s">
        <v>807</v>
      </c>
      <c r="B42" s="495"/>
      <c r="C42" s="474"/>
      <c r="D42" s="474"/>
      <c r="E42" s="474"/>
      <c r="F42" s="474"/>
      <c r="G42" s="474"/>
      <c r="H42" s="474"/>
      <c r="I42" s="474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</row>
    <row r="43" spans="1:42" x14ac:dyDescent="0.25">
      <c r="A43" s="485" t="s">
        <v>108</v>
      </c>
      <c r="B43" s="48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49.25" customHeight="1" x14ac:dyDescent="0.25">
      <c r="A44" s="638" t="str">
        <f>UPPER(INSERIMENTO!CQ10)</f>
        <v/>
      </c>
      <c r="B44" s="638"/>
      <c r="C44" s="15"/>
      <c r="D44" s="15"/>
      <c r="E44" s="15"/>
      <c r="F44" s="15"/>
      <c r="I44" s="7"/>
    </row>
    <row r="45" spans="1:42" x14ac:dyDescent="0.25">
      <c r="A45" s="426"/>
      <c r="B45" s="487"/>
      <c r="F45" s="8"/>
      <c r="G45" s="8"/>
      <c r="H45" s="8"/>
      <c r="I45" s="8"/>
      <c r="J45" s="16" t="s">
        <v>770</v>
      </c>
      <c r="K45" s="106"/>
    </row>
    <row r="46" spans="1:42" x14ac:dyDescent="0.25">
      <c r="A46" s="488"/>
      <c r="B46" s="489"/>
      <c r="C46" s="612" t="s">
        <v>771</v>
      </c>
      <c r="D46" s="612"/>
      <c r="E46" s="612"/>
      <c r="J46" s="436">
        <f>SUM(J48:J56)-LEN(I57)</f>
        <v>424</v>
      </c>
      <c r="K46" s="617" t="s">
        <v>771</v>
      </c>
      <c r="L46" s="615"/>
      <c r="M46" s="615"/>
      <c r="N46" s="615"/>
      <c r="O46" s="615"/>
      <c r="P46" s="615"/>
      <c r="Q46" s="616"/>
      <c r="R46" s="617" t="s">
        <v>772</v>
      </c>
      <c r="S46" s="615"/>
      <c r="T46" s="615"/>
      <c r="U46" s="615"/>
      <c r="V46" s="615"/>
      <c r="W46" s="615"/>
      <c r="X46" s="615"/>
      <c r="Y46" s="615"/>
      <c r="Z46" s="615"/>
      <c r="AA46" s="615"/>
      <c r="AB46" s="615"/>
      <c r="AC46" s="615"/>
      <c r="AD46" s="615"/>
      <c r="AE46" s="615"/>
      <c r="AF46" s="615"/>
      <c r="AI46" s="612" t="s">
        <v>773</v>
      </c>
      <c r="AJ46" s="612"/>
      <c r="AK46" s="612"/>
      <c r="AN46" s="460" t="s">
        <v>861</v>
      </c>
      <c r="AO46" s="460"/>
      <c r="AP46" s="460"/>
    </row>
    <row r="47" spans="1:42" x14ac:dyDescent="0.25">
      <c r="A47" s="490" t="s">
        <v>774</v>
      </c>
      <c r="B47" s="491"/>
      <c r="C47" s="447" t="s">
        <v>775</v>
      </c>
      <c r="D47" s="447" t="s">
        <v>776</v>
      </c>
      <c r="E47" s="447" t="s">
        <v>777</v>
      </c>
      <c r="F47" s="447" t="s">
        <v>778</v>
      </c>
      <c r="G47" s="447" t="s">
        <v>779</v>
      </c>
      <c r="H47" s="447" t="s">
        <v>233</v>
      </c>
      <c r="I47" s="447" t="s">
        <v>780</v>
      </c>
      <c r="J47" s="16" t="s">
        <v>781</v>
      </c>
      <c r="K47" s="16">
        <v>0</v>
      </c>
      <c r="L47" s="16" t="s">
        <v>782</v>
      </c>
      <c r="M47" s="16" t="s">
        <v>783</v>
      </c>
      <c r="N47" s="16" t="s">
        <v>784</v>
      </c>
      <c r="O47" s="16" t="s">
        <v>785</v>
      </c>
      <c r="P47" s="16" t="s">
        <v>786</v>
      </c>
      <c r="Q47" s="16" t="s">
        <v>787</v>
      </c>
      <c r="R47" s="16" t="s">
        <v>782</v>
      </c>
      <c r="S47" s="16" t="s">
        <v>788</v>
      </c>
      <c r="T47" s="16" t="s">
        <v>789</v>
      </c>
      <c r="U47" s="16" t="s">
        <v>783</v>
      </c>
      <c r="V47" s="16" t="s">
        <v>790</v>
      </c>
      <c r="W47" s="16" t="s">
        <v>791</v>
      </c>
      <c r="X47" s="16" t="s">
        <v>784</v>
      </c>
      <c r="Y47" s="16" t="s">
        <v>792</v>
      </c>
      <c r="Z47" s="16" t="s">
        <v>793</v>
      </c>
      <c r="AA47" s="16" t="s">
        <v>785</v>
      </c>
      <c r="AB47" s="16" t="s">
        <v>794</v>
      </c>
      <c r="AC47" s="16" t="s">
        <v>795</v>
      </c>
      <c r="AD47" s="16" t="s">
        <v>786</v>
      </c>
      <c r="AE47" s="16" t="s">
        <v>796</v>
      </c>
      <c r="AF47" s="16" t="s">
        <v>797</v>
      </c>
      <c r="AG47" s="16" t="s">
        <v>798</v>
      </c>
      <c r="AH47" s="16" t="s">
        <v>799</v>
      </c>
      <c r="AI47" s="447" t="s">
        <v>775</v>
      </c>
      <c r="AJ47" s="447" t="s">
        <v>776</v>
      </c>
      <c r="AK47" s="447" t="s">
        <v>777</v>
      </c>
      <c r="AL47" s="447" t="s">
        <v>800</v>
      </c>
      <c r="AM47" s="447" t="s">
        <v>801</v>
      </c>
      <c r="AN47" s="461" t="s">
        <v>862</v>
      </c>
      <c r="AO47" s="461" t="s">
        <v>863</v>
      </c>
      <c r="AP47" s="461" t="s">
        <v>864</v>
      </c>
    </row>
    <row r="48" spans="1:42" x14ac:dyDescent="0.25">
      <c r="A48" s="2">
        <f>IF(NUMRD+(ROW()-ROW($A$48))+SUM(STRINGA!$I$8:$M$8)&lt;=NUMRD*2+NUMRDJ,ROW()-ROW($A$48),"")</f>
        <v>0</v>
      </c>
      <c r="B48" s="11" t="s">
        <v>802</v>
      </c>
      <c r="C48" s="43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5">
      <c r="A49" s="2">
        <f>IF(NUMRD+(ROW()-ROW($A$48))+SUM(STRINGA!$I$8:$M$8)&lt;=NUMRD*2+NUMRDJ,ROW()-ROW($A$48),"")</f>
        <v>1</v>
      </c>
      <c r="B49" s="14" t="str">
        <f t="shared" ref="B49:B57" si="54">IF(OR(LEFT(IFERROR(G48&amp;MID($A$44,(A48)*LUNGH+1,LUNGH),""),1)=CHAR(10),LEFT(IFERROR(G48&amp;MID($A$44,(A48)*LUNGH+1,LUNGH),""),1)=" "),MID(IFERROR(G48&amp;MID($A$44,(A48)*LUNGH+1,LUNGH),""),2,999),IFERROR(G48&amp;MID($A$44,(A48)*LUNGH+1,LUNGH),""))</f>
        <v/>
      </c>
      <c r="C49" s="433" t="str">
        <f t="shared" ref="C49:C57" si="55">IFERROR(FIND("*",B49)," ")</f>
        <v xml:space="preserve"> </v>
      </c>
      <c r="D49" s="3">
        <f>IFERROR(IF(C49=1,FIND("*",B49,C49+1),999),999)</f>
        <v>999</v>
      </c>
      <c r="E49" s="3">
        <f t="shared" ref="E49:E53" si="56">IFERROR(FIND(CHAR(10),B49,2)-1-IF(LEFT(B49,1)=CHAR(10),1,0),999)</f>
        <v>999</v>
      </c>
      <c r="F49" s="19" t="str">
        <f t="shared" ref="F49:F57" si="57">IF(A49&lt;&gt;"",LEFT(LEFT(CLEAN(B49),MIN(D49,E49))&amp;SPAZI,LUNGH),"")</f>
        <v xml:space="preserve">                                                     </v>
      </c>
      <c r="G49" s="20" t="str">
        <f t="shared" ref="G49:G57" si="58">MID(B49,MIN(D49+1,E49+2,LUNGH+1+IF(E49=LUNGH,1,0)+IF(LEFT(B49,1)=CHAR(10),1,0)),1000)</f>
        <v/>
      </c>
      <c r="H49" s="3">
        <f t="shared" ref="H49:H57" si="59">IF(IFERROR(LEFT(F49,MIN(IFERROR(FIND("=",F49,2)-1,1000),FIND("*",F49,2)-1)),0)="*SOSPE",LEFT(F49,8),IFERROR(IF(C49=1,LEFT(F49,MIN(IFERROR(FIND("=",F49,2)-1,1000),FIND("*",F49,2)-1)),0),0))</f>
        <v>0</v>
      </c>
      <c r="I49" s="2" t="str">
        <f t="shared" ref="I49:I56" si="60">CLEAN(LEFT(LEFT(CLEAN(B49),MIN(D49,E49)),LUNGH))</f>
        <v/>
      </c>
      <c r="J49" s="2">
        <f t="shared" ref="J49:J56" si="61">IF(I50&lt;&gt;"","",LEN(F49)-LEN(I49))</f>
        <v>53</v>
      </c>
      <c r="K49" s="3" t="str">
        <f t="shared" ref="K49:K56" si="62">"0"</f>
        <v>0</v>
      </c>
      <c r="L49" s="2" t="str">
        <f t="shared" ref="L49:P56" si="63">IF(LEFT($F49,1)="*",IFERROR(FIND("=",$F49,K49+1),$D49),"")</f>
        <v/>
      </c>
      <c r="M49" s="2" t="str">
        <f t="shared" si="63"/>
        <v/>
      </c>
      <c r="N49" s="2" t="str">
        <f t="shared" si="63"/>
        <v/>
      </c>
      <c r="O49" s="2" t="str">
        <f t="shared" si="63"/>
        <v/>
      </c>
      <c r="P49" s="2" t="str">
        <f t="shared" si="63"/>
        <v/>
      </c>
      <c r="Q49" s="2" t="str">
        <f t="shared" ref="Q49:Q56" si="64">IF(LEFT($F49,1)="*",IFERROR(FIND("=",$F49,O49+1),$D49),"")</f>
        <v/>
      </c>
      <c r="R49" s="105" t="str">
        <f>IF(LEFT($H49,6)="*SOSPE"," ",IF(LEFT($F49,1)="*",MID($F49,L49+1,MAX(M49-L49-1,0)),""))</f>
        <v/>
      </c>
      <c r="S49" s="105" t="str">
        <f>IF(LEFT($F49,1)="*",IF(VLOOKUP($H49,ELENCHI!$BG$24:$BO$123,5,FALSE)=LEN(R49),0,1),"")</f>
        <v/>
      </c>
      <c r="T49" s="105" t="str">
        <f>IF(S49=0,IFERROR(LEFT(R49,VLOOKUP($H49,ELENCHI!$BG$24:$CB$123,5,FALSE)-VLOOKUP($H49,ELENCHI!$BG$24:$CB$123,10,FALSE))&amp;IF(VLOOKUP($H49,ELENCHI!$BG$24:$CB$123,10,FALSE)=0,"",",")&amp;RIGHT(R49,VLOOKUP($H49,ELENCHI!$BG$24:$CB$123,10,FALSE)),""),"!!!")</f>
        <v>!!!</v>
      </c>
      <c r="U49" s="2" t="str">
        <f>IF(LEFT($F49,1)="*",MID($F49,M49+1,MAX(N49-M49-1,0)),"")</f>
        <v/>
      </c>
      <c r="V49" s="2" t="str">
        <f>IF(LEFT($F49,1)="*",IF(VLOOKUP($H49,ELENCHI!$BG$24:$BO$123,6,FALSE)=LEN(U49),0,1),"")</f>
        <v/>
      </c>
      <c r="W49" s="2" t="str">
        <f>IF(V49=0,IFERROR(LEFT(U49,VLOOKUP($H49,ELENCHI!$BG$24:$CB$123,6,FALSE)-VLOOKUP($H49,ELENCHI!$BG$24:$CB$123,11,FALSE))&amp;IF(VLOOKUP($H49,ELENCHI!$BG$24:$CB$123,11,FALSE)=0,"",",")&amp;RIGHT(U49,VLOOKUP($H49,ELENCHI!$BG$24:$CB$123,11,FALSE)),""),"!!!")</f>
        <v>!!!</v>
      </c>
      <c r="X49" s="105" t="str">
        <f>IF(LEFT($F49,1)="*",MID($F49,N49+1,MAX(O49-N49-1,0)),"")</f>
        <v/>
      </c>
      <c r="Y49" s="105" t="str">
        <f>IF(LEFT($F49,1)="*",IF(VLOOKUP($H49,ELENCHI!$BG$24:$BO$123,7,FALSE)=LEN(X49),0,1),"")</f>
        <v/>
      </c>
      <c r="Z49" s="105" t="str">
        <f>IF(Y49=0,IFERROR(LEFT(X49,VLOOKUP($H49,ELENCHI!$BG$24:$CB$123,7,FALSE)-VLOOKUP($H49,ELENCHI!$BG$24:$CB$123,12,FALSE))&amp;IF(VLOOKUP($H49,ELENCHI!$BG$24:$CB$123,12,FALSE)=0,"",",")&amp;RIGHT(X49,VLOOKUP($H49,ELENCHI!$BG$24:$CB$123,12,FALSE)),""),"!!!")</f>
        <v>!!!</v>
      </c>
      <c r="AA49" s="113" t="str">
        <f>IF(LEFT($F49,1)="*",MID($F49,O49+1,MAX(P49-O49-1,0)),"")</f>
        <v/>
      </c>
      <c r="AB49" s="113" t="str">
        <f>IF(LEFT($F49,1)="*",IF(VLOOKUP($H49,ELENCHI!$BG$24:$BO$123,8,FALSE)=LEN(AA49),0,1),"")</f>
        <v/>
      </c>
      <c r="AC49" s="113" t="str">
        <f>IF(AB49=0,IFERROR(LEFT(AA49,VLOOKUP($H49,ELENCHI!$BG$24:$CB$123,8,FALSE)-VLOOKUP($H49,ELENCHI!$BG$24:$CB$123,13,FALSE))&amp;IF(VLOOKUP($H49,ELENCHI!$BG$24:$CB$123,13,FALSE)=0,"",",")&amp;RIGHT(AA49,VLOOKUP($H49,ELENCHI!$BG$24:$CB$123,13,FALSE)),""),"!!!")</f>
        <v>!!!</v>
      </c>
      <c r="AD49" s="105" t="str">
        <f>IF(LEFT($F49,1)="*",MID($F49,P49+1,MAX(Q49-P49-1,0)),"")</f>
        <v/>
      </c>
      <c r="AE49" s="105" t="str">
        <f>IF(LEFT($F49,1)="*",IF(VLOOKUP($H49,ELENCHI!$BG$24:$BO$123,9,FALSE)=LEN(AD49),0,1),"")</f>
        <v/>
      </c>
      <c r="AF49" s="105" t="str">
        <f>IF(AE49=0,IFERROR(LEFT(AD49,VLOOKUP($H49,ELENCHI!$BG$24:$CB$123,9,FALSE)-VLOOKUP($H49,ELENCHI!$BG$24:$CB$123,14,FALSE))&amp;IF(VLOOKUP($H49,ELENCHI!$BG$24:$CB$123,14,FALSE)=0,"",",")&amp;RIGHT(AD49,VLOOKUP($H49,ELENCHI!$BG$24:$CB$123,14,FALSE)),""),"!!!")</f>
        <v>!!!</v>
      </c>
      <c r="AG49" s="117">
        <f>SUM(S49,V49,Y49,AB49,AE49)</f>
        <v>0</v>
      </c>
      <c r="AH49" s="2" t="str">
        <f>AM48&amp;IF(H49&lt;&gt;0,VLOOKUP($H49,ELENCHI!$BG$24:$CB$123,16,FALSE)&amp;T49&amp;VLOOKUP($H49,ELENCHI!$BG$24:$CB$123,17,FALSE)&amp;W49&amp;VLOOKUP($H49,ELENCHI!$BG$24:$CB$123,18,FALSE)&amp;Z49&amp;VLOOKUP($H49,ELENCHI!$BG$24:$CB$123,19,FALSE)&amp;AC49&amp;VLOOKUP($H49,ELENCHI!$BG$24:$CB$123,20,FALSE)&amp;AF49&amp;CHAR(10),I49&amp;IF(IFERROR(FIND(CHAR(10),LEFT(B49,LUNGH),1),0)&gt;0,CHAR(10),""))</f>
        <v/>
      </c>
      <c r="AI49" s="3" t="str">
        <f>IFERROR(FIND("*",AH49)," ")</f>
        <v xml:space="preserve"> </v>
      </c>
      <c r="AJ49" s="3">
        <f>IFERROR(IF(AI49=1,FIND("*",AH49,AI49+1),999),999)</f>
        <v>999</v>
      </c>
      <c r="AK49" s="3">
        <f>IFERROR(FIND(CHAR(10),AH49,2)-1,999)</f>
        <v>999</v>
      </c>
      <c r="AL49" s="114" t="str">
        <f t="shared" ref="AL49:AL59" si="65">IFERROR(LEFT(LEFT(CLEAN(AH49),MIN(AJ49,AK49))&amp;SPAZI,LUNGH),"!!!")</f>
        <v xml:space="preserve">                                                     </v>
      </c>
      <c r="AM49" s="20" t="str">
        <f t="shared" ref="AM49:AM59" si="66">MID(AH49,MIN(AJ49+1,AK49+2,LUNGH+1),1000)</f>
        <v/>
      </c>
      <c r="AN49" s="2">
        <f>A49</f>
        <v>1</v>
      </c>
      <c r="AO49" s="462" t="str">
        <f>IF(AN49&lt;&gt;"",F49,"------  RIGA OCCUPATA DA PRESCRIZIONI TECNICHE ------")</f>
        <v xml:space="preserve">                                                     </v>
      </c>
      <c r="AP49" s="462" t="str">
        <f>AN49&amp;"       "&amp;AO49&amp;CHAR(10)</f>
        <v xml:space="preserve">1                                                            
</v>
      </c>
    </row>
    <row r="50" spans="1:42" x14ac:dyDescent="0.25">
      <c r="A50" s="2">
        <f>IF(NUMRD+(ROW()-ROW($A$48))+SUM(STRINGA!$I$8:$M$8)&lt;=NUMRD*2+NUMRDJ,ROW()-ROW($A$48),"")</f>
        <v>2</v>
      </c>
      <c r="B50" s="14" t="str">
        <f t="shared" si="54"/>
        <v/>
      </c>
      <c r="C50" s="433" t="str">
        <f t="shared" si="55"/>
        <v xml:space="preserve"> </v>
      </c>
      <c r="D50" s="3">
        <f t="shared" ref="D50:D57" si="67">IFERROR(IF(C50=1,FIND("*",B50,C50+1),999),999)</f>
        <v>999</v>
      </c>
      <c r="E50" s="3">
        <f t="shared" si="56"/>
        <v>999</v>
      </c>
      <c r="F50" s="19" t="str">
        <f t="shared" si="57"/>
        <v xml:space="preserve">                                                     </v>
      </c>
      <c r="G50" s="20" t="str">
        <f t="shared" si="58"/>
        <v/>
      </c>
      <c r="H50" s="3">
        <f t="shared" si="59"/>
        <v>0</v>
      </c>
      <c r="I50" s="2" t="str">
        <f t="shared" si="60"/>
        <v/>
      </c>
      <c r="J50" s="2">
        <f t="shared" si="61"/>
        <v>53</v>
      </c>
      <c r="K50" s="3" t="str">
        <f t="shared" si="62"/>
        <v>0</v>
      </c>
      <c r="L50" s="2" t="str">
        <f t="shared" si="63"/>
        <v/>
      </c>
      <c r="M50" s="2" t="str">
        <f t="shared" si="63"/>
        <v/>
      </c>
      <c r="N50" s="2" t="str">
        <f t="shared" si="63"/>
        <v/>
      </c>
      <c r="O50" s="2" t="str">
        <f t="shared" si="63"/>
        <v/>
      </c>
      <c r="P50" s="2" t="str">
        <f t="shared" si="63"/>
        <v/>
      </c>
      <c r="Q50" s="2" t="str">
        <f t="shared" si="64"/>
        <v/>
      </c>
      <c r="R50" s="105" t="str">
        <f>IF(LEFT($H50,6)="*SOSPE"," ",IF(LEFT($F50,1)="*",MID($F50,L50+1,MAX(M50-L50-1,0)),""))</f>
        <v/>
      </c>
      <c r="S50" s="105" t="str">
        <f>IF(LEFT($F50,1)="*",IF(VLOOKUP($H50,ELENCHI!$BG$24:$BO$123,5,FALSE)=LEN(R50),0,1),"")</f>
        <v/>
      </c>
      <c r="T50" s="105" t="str">
        <f>IF(S50=0,IFERROR(LEFT(R50,VLOOKUP($H50,ELENCHI!$BG$24:$CB$123,5,FALSE)-VLOOKUP($H50,ELENCHI!$BG$24:$CB$123,10,FALSE))&amp;IF(VLOOKUP($H50,ELENCHI!$BG$24:$CB$123,10,FALSE)=0,"",",")&amp;RIGHT(R50,VLOOKUP($H50,ELENCHI!$BG$24:$CB$123,10,FALSE)),""),"!!!")</f>
        <v>!!!</v>
      </c>
      <c r="U50" s="2" t="str">
        <f t="shared" ref="U50:U56" si="68">IF(LEFT($F50,1)="*",MID($F50,M50+1,MAX(N50-M50-1,0)),"")</f>
        <v/>
      </c>
      <c r="V50" s="2" t="str">
        <f>IF(LEFT($F50,1)="*",IF(VLOOKUP($H50,ELENCHI!$BG$24:$BO$123,6,FALSE)=LEN(U50),0,1),"")</f>
        <v/>
      </c>
      <c r="W50" s="2" t="str">
        <f>IF(V50=0,IFERROR(LEFT(U50,VLOOKUP($H50,ELENCHI!$BG$24:$CB$123,6,FALSE)-VLOOKUP($H50,ELENCHI!$BG$24:$CB$123,11,FALSE))&amp;IF(VLOOKUP($H50,ELENCHI!$BG$24:$CB$123,11,FALSE)=0,"",",")&amp;RIGHT(U50,VLOOKUP($H50,ELENCHI!$BG$24:$CB$123,11,FALSE)),""),"!!!")</f>
        <v>!!!</v>
      </c>
      <c r="X50" s="105" t="str">
        <f t="shared" ref="X50:X56" si="69">IF(LEFT($F50,1)="*",MID($F50,N50+1,MAX(O50-N50-1,0)),"")</f>
        <v/>
      </c>
      <c r="Y50" s="105" t="str">
        <f>IF(LEFT($F50,1)="*",IF(VLOOKUP($H50,ELENCHI!$BG$24:$BO$123,7,FALSE)=LEN(X50),0,1),"")</f>
        <v/>
      </c>
      <c r="Z50" s="105" t="str">
        <f>IF(Y50=0,IFERROR(LEFT(X50,VLOOKUP($H50,ELENCHI!$BG$24:$CB$123,7,FALSE)-VLOOKUP($H50,ELENCHI!$BG$24:$CB$123,12,FALSE))&amp;IF(VLOOKUP($H50,ELENCHI!$BG$24:$CB$123,12,FALSE)=0,"",",")&amp;RIGHT(X50,VLOOKUP($H50,ELENCHI!$BG$24:$CB$123,12,FALSE)),""),"!!!")</f>
        <v>!!!</v>
      </c>
      <c r="AA50" s="113" t="str">
        <f t="shared" ref="AA50:AA56" si="70">IF(LEFT($F50,1)="*",MID($F50,O50+1,MAX(P50-O50-1,0)),"")</f>
        <v/>
      </c>
      <c r="AB50" s="113" t="str">
        <f>IF(LEFT($F50,1)="*",IF(VLOOKUP($H50,ELENCHI!$BG$24:$BO$123,8,FALSE)=LEN(AA50),0,1),"")</f>
        <v/>
      </c>
      <c r="AC50" s="113" t="str">
        <f>IF(AB50=0,IFERROR(LEFT(AA50,VLOOKUP($H50,ELENCHI!$BG$24:$CB$123,8,FALSE)-VLOOKUP($H50,ELENCHI!$BG$24:$CB$123,13,FALSE))&amp;IF(VLOOKUP($H50,ELENCHI!$BG$24:$CB$123,13,FALSE)=0,"",",")&amp;RIGHT(AA50,VLOOKUP($H50,ELENCHI!$BG$24:$CB$123,13,FALSE)),""),"!!!")</f>
        <v>!!!</v>
      </c>
      <c r="AD50" s="105" t="str">
        <f t="shared" ref="AD50:AD56" si="71">IF(LEFT($F50,1)="*",MID($F50,P50+1,MAX(Q50-P50-1,0)),"")</f>
        <v/>
      </c>
      <c r="AE50" s="105" t="str">
        <f>IF(LEFT($F50,1)="*",IF(VLOOKUP($H50,ELENCHI!$BG$24:$BO$123,9,FALSE)=LEN(AD50),0,1),"")</f>
        <v/>
      </c>
      <c r="AF50" s="105" t="str">
        <f>IF(AE50=0,IFERROR(LEFT(AD50,VLOOKUP($H50,ELENCHI!$BG$24:$CB$123,9,FALSE)-VLOOKUP($H50,ELENCHI!$BG$24:$CB$123,14,FALSE))&amp;IF(VLOOKUP($H50,ELENCHI!$BG$24:$CB$123,14,FALSE)=0,"",",")&amp;RIGHT(AD50,VLOOKUP($H50,ELENCHI!$BG$24:$CB$123,14,FALSE)),""),"!!!")</f>
        <v>!!!</v>
      </c>
      <c r="AG50" s="117">
        <f t="shared" ref="AG50:AG56" si="72">SUM(S50,V50,Y50,AB50,AE50)</f>
        <v>0</v>
      </c>
      <c r="AH50" s="2" t="str">
        <f>AM49&amp;IF(H50&lt;&gt;0,VLOOKUP($H50,ELENCHI!$BG$24:$CB$123,16,FALSE)&amp;T50&amp;VLOOKUP($H50,ELENCHI!$BG$24:$CB$123,17,FALSE)&amp;W50&amp;VLOOKUP($H50,ELENCHI!$BG$24:$CB$123,18,FALSE)&amp;Z50&amp;VLOOKUP($H50,ELENCHI!$BG$24:$CB$123,19,FALSE)&amp;AC50&amp;VLOOKUP($H50,ELENCHI!$BG$24:$CB$123,20,FALSE)&amp;AF50&amp;CHAR(10),I50&amp;IF(IFERROR(FIND(CHAR(10),LEFT(B50,LUNGH),1),0)&gt;0,CHAR(10),""))</f>
        <v/>
      </c>
      <c r="AI50" s="3" t="str">
        <f t="shared" ref="AI50:AI59" si="73">IFERROR(FIND("*",AH50)," ")</f>
        <v xml:space="preserve"> </v>
      </c>
      <c r="AJ50" s="3">
        <f t="shared" ref="AJ50:AJ59" si="74">IFERROR(IF(AI50=1,FIND("*",AH50,AI50+1),999),999)</f>
        <v>999</v>
      </c>
      <c r="AK50" s="3">
        <f t="shared" ref="AK50:AK59" si="75">IFERROR(FIND(CHAR(10),AH50,2)-1,999)</f>
        <v>999</v>
      </c>
      <c r="AL50" s="114" t="str">
        <f t="shared" si="65"/>
        <v xml:space="preserve">                                                     </v>
      </c>
      <c r="AM50" s="20" t="str">
        <f t="shared" si="66"/>
        <v/>
      </c>
      <c r="AN50" s="2">
        <f t="shared" ref="AN50:AN56" si="76">A50</f>
        <v>2</v>
      </c>
      <c r="AO50" s="462" t="str">
        <f t="shared" ref="AO50:AO56" si="77">IF(AN50&lt;&gt;"",F50,"------  RIGA OCCUPATA DA PRESCRIZIONI TECNICHE ------")</f>
        <v xml:space="preserve">                                                     </v>
      </c>
      <c r="AP50" s="462" t="str">
        <f t="shared" ref="AP50:AP56" si="78">AN50&amp;"       "&amp;AO50&amp;CHAR(10)</f>
        <v xml:space="preserve">2                                                            
</v>
      </c>
    </row>
    <row r="51" spans="1:42" x14ac:dyDescent="0.25">
      <c r="A51" s="2">
        <f>IF(NUMRD+(ROW()-ROW($A$48))+SUM(STRINGA!$I$8:$M$8)&lt;=NUMRD*2+NUMRDJ,ROW()-ROW($A$48),"")</f>
        <v>3</v>
      </c>
      <c r="B51" s="14" t="str">
        <f t="shared" si="54"/>
        <v/>
      </c>
      <c r="C51" s="433" t="str">
        <f t="shared" si="55"/>
        <v xml:space="preserve"> </v>
      </c>
      <c r="D51" s="3">
        <f t="shared" si="67"/>
        <v>999</v>
      </c>
      <c r="E51" s="3">
        <f t="shared" si="56"/>
        <v>999</v>
      </c>
      <c r="F51" s="19" t="str">
        <f t="shared" si="57"/>
        <v xml:space="preserve">                                                     </v>
      </c>
      <c r="G51" s="20" t="str">
        <f t="shared" si="58"/>
        <v/>
      </c>
      <c r="H51" s="3">
        <f t="shared" si="59"/>
        <v>0</v>
      </c>
      <c r="I51" s="2" t="str">
        <f t="shared" si="60"/>
        <v/>
      </c>
      <c r="J51" s="2">
        <f t="shared" si="61"/>
        <v>53</v>
      </c>
      <c r="K51" s="3" t="str">
        <f t="shared" si="62"/>
        <v>0</v>
      </c>
      <c r="L51" s="2" t="str">
        <f t="shared" si="63"/>
        <v/>
      </c>
      <c r="M51" s="2" t="str">
        <f t="shared" si="63"/>
        <v/>
      </c>
      <c r="N51" s="2" t="str">
        <f t="shared" si="63"/>
        <v/>
      </c>
      <c r="O51" s="2" t="str">
        <f t="shared" si="63"/>
        <v/>
      </c>
      <c r="P51" s="2" t="str">
        <f t="shared" si="63"/>
        <v/>
      </c>
      <c r="Q51" s="2" t="str">
        <f t="shared" si="64"/>
        <v/>
      </c>
      <c r="R51" s="105" t="str">
        <f t="shared" ref="R51:R56" si="79">IF(LEFT($H51,6)="*SOSPE"," ",IF(LEFT($F51,1)="*",MID($F51,L51+1,MAX(M51-L51-1,0)),""))</f>
        <v/>
      </c>
      <c r="S51" s="105" t="str">
        <f>IF(LEFT($F51,1)="*",IF(VLOOKUP($H51,ELENCHI!$BG$24:$BO$123,5,FALSE)=LEN(R51),0,1),"")</f>
        <v/>
      </c>
      <c r="T51" s="105" t="str">
        <f>IF(S51=0,IFERROR(LEFT(R51,VLOOKUP($H51,ELENCHI!$BG$24:$CB$123,5,FALSE)-VLOOKUP($H51,ELENCHI!$BG$24:$CB$123,10,FALSE))&amp;IF(VLOOKUP($H51,ELENCHI!$BG$24:$CB$123,10,FALSE)=0,"",",")&amp;RIGHT(R51,VLOOKUP($H51,ELENCHI!$BG$24:$CB$123,10,FALSE)),""),"!!!")</f>
        <v>!!!</v>
      </c>
      <c r="U51" s="2" t="str">
        <f t="shared" si="68"/>
        <v/>
      </c>
      <c r="V51" s="2" t="str">
        <f>IF(LEFT($F51,1)="*",IF(VLOOKUP($H51,ELENCHI!$BG$24:$BO$123,6,FALSE)=LEN(U51),0,1),"")</f>
        <v/>
      </c>
      <c r="W51" s="2" t="str">
        <f>IF(V51=0,IFERROR(LEFT(U51,VLOOKUP($H51,ELENCHI!$BG$24:$CB$123,6,FALSE)-VLOOKUP($H51,ELENCHI!$BG$24:$CB$123,11,FALSE))&amp;IF(VLOOKUP($H51,ELENCHI!$BG$24:$CB$123,11,FALSE)=0,"",",")&amp;RIGHT(U51,VLOOKUP($H51,ELENCHI!$BG$24:$CB$123,11,FALSE)),""),"!!!")</f>
        <v>!!!</v>
      </c>
      <c r="X51" s="105" t="str">
        <f t="shared" si="69"/>
        <v/>
      </c>
      <c r="Y51" s="105" t="str">
        <f>IF(LEFT($F51,1)="*",IF(VLOOKUP($H51,ELENCHI!$BG$24:$BO$123,7,FALSE)=LEN(X51),0,1),"")</f>
        <v/>
      </c>
      <c r="Z51" s="105" t="str">
        <f>IF(Y51=0,IFERROR(LEFT(X51,VLOOKUP($H51,ELENCHI!$BG$24:$CB$123,7,FALSE)-VLOOKUP($H51,ELENCHI!$BG$24:$CB$123,12,FALSE))&amp;IF(VLOOKUP($H51,ELENCHI!$BG$24:$CB$123,12,FALSE)=0,"",",")&amp;RIGHT(X51,VLOOKUP($H51,ELENCHI!$BG$24:$CB$123,12,FALSE)),""),"!!!")</f>
        <v>!!!</v>
      </c>
      <c r="AA51" s="113" t="str">
        <f t="shared" si="70"/>
        <v/>
      </c>
      <c r="AB51" s="113" t="str">
        <f>IF(LEFT($F51,1)="*",IF(VLOOKUP($H51,ELENCHI!$BG$24:$BO$123,8,FALSE)=LEN(AA51),0,1),"")</f>
        <v/>
      </c>
      <c r="AC51" s="113" t="str">
        <f>IF(AB51=0,IFERROR(LEFT(AA51,VLOOKUP($H51,ELENCHI!$BG$24:$CB$123,8,FALSE)-VLOOKUP($H51,ELENCHI!$BG$24:$CB$123,13,FALSE))&amp;IF(VLOOKUP($H51,ELENCHI!$BG$24:$CB$123,13,FALSE)=0,"",",")&amp;RIGHT(AA51,VLOOKUP($H51,ELENCHI!$BG$24:$CB$123,13,FALSE)),""),"!!!")</f>
        <v>!!!</v>
      </c>
      <c r="AD51" s="105" t="str">
        <f t="shared" si="71"/>
        <v/>
      </c>
      <c r="AE51" s="105" t="str">
        <f>IF(LEFT($F51,1)="*",IF(VLOOKUP($H51,ELENCHI!$BG$24:$BO$123,9,FALSE)=LEN(AD51),0,1),"")</f>
        <v/>
      </c>
      <c r="AF51" s="105" t="str">
        <f>IF(AE51=0,IFERROR(LEFT(AD51,VLOOKUP($H51,ELENCHI!$BG$24:$CB$123,9,FALSE)-VLOOKUP($H51,ELENCHI!$BG$24:$CB$123,14,FALSE))&amp;IF(VLOOKUP($H51,ELENCHI!$BG$24:$CB$123,14,FALSE)=0,"",",")&amp;RIGHT(AD51,VLOOKUP($H51,ELENCHI!$BG$24:$CB$123,14,FALSE)),""),"!!!")</f>
        <v>!!!</v>
      </c>
      <c r="AG51" s="117">
        <f t="shared" si="72"/>
        <v>0</v>
      </c>
      <c r="AH51" s="2" t="str">
        <f>AM50&amp;IF(H51&lt;&gt;0,VLOOKUP($H51,ELENCHI!$BG$24:$CB$123,16,FALSE)&amp;T51&amp;VLOOKUP($H51,ELENCHI!$BG$24:$CB$123,17,FALSE)&amp;W51&amp;VLOOKUP($H51,ELENCHI!$BG$24:$CB$123,18,FALSE)&amp;Z51&amp;VLOOKUP($H51,ELENCHI!$BG$24:$CB$123,19,FALSE)&amp;AC51&amp;VLOOKUP($H51,ELENCHI!$BG$24:$CB$123,20,FALSE)&amp;AF51&amp;CHAR(10),I51&amp;IF(IFERROR(FIND(CHAR(10),LEFT(B51,LUNGH),1),0)&gt;0,CHAR(10),""))</f>
        <v/>
      </c>
      <c r="AI51" s="3" t="str">
        <f t="shared" si="73"/>
        <v xml:space="preserve"> </v>
      </c>
      <c r="AJ51" s="3">
        <f t="shared" si="74"/>
        <v>999</v>
      </c>
      <c r="AK51" s="3">
        <f t="shared" si="75"/>
        <v>999</v>
      </c>
      <c r="AL51" s="114" t="str">
        <f t="shared" si="65"/>
        <v xml:space="preserve">                                                     </v>
      </c>
      <c r="AM51" s="20" t="str">
        <f t="shared" si="66"/>
        <v/>
      </c>
      <c r="AN51" s="2">
        <f t="shared" si="76"/>
        <v>3</v>
      </c>
      <c r="AO51" s="462" t="str">
        <f t="shared" si="77"/>
        <v xml:space="preserve">                                                     </v>
      </c>
      <c r="AP51" s="462" t="str">
        <f t="shared" si="78"/>
        <v xml:space="preserve">3                                                            
</v>
      </c>
    </row>
    <row r="52" spans="1:42" x14ac:dyDescent="0.25">
      <c r="A52" s="2">
        <f>IF(NUMRD+(ROW()-ROW($A$48))+SUM(STRINGA!$I$8:$M$8)&lt;=NUMRD*2+NUMRDJ,ROW()-ROW($A$48),"")</f>
        <v>4</v>
      </c>
      <c r="B52" s="14" t="str">
        <f t="shared" si="54"/>
        <v/>
      </c>
      <c r="C52" s="433" t="str">
        <f t="shared" si="55"/>
        <v xml:space="preserve"> </v>
      </c>
      <c r="D52" s="3">
        <f t="shared" si="67"/>
        <v>999</v>
      </c>
      <c r="E52" s="3">
        <f t="shared" si="56"/>
        <v>999</v>
      </c>
      <c r="F52" s="19" t="str">
        <f t="shared" si="57"/>
        <v xml:space="preserve">                                                     </v>
      </c>
      <c r="G52" s="20" t="str">
        <f t="shared" si="58"/>
        <v/>
      </c>
      <c r="H52" s="3">
        <f t="shared" si="59"/>
        <v>0</v>
      </c>
      <c r="I52" s="2" t="str">
        <f t="shared" si="60"/>
        <v/>
      </c>
      <c r="J52" s="2">
        <f t="shared" si="61"/>
        <v>53</v>
      </c>
      <c r="K52" s="3" t="str">
        <f t="shared" si="62"/>
        <v>0</v>
      </c>
      <c r="L52" s="2" t="str">
        <f t="shared" si="63"/>
        <v/>
      </c>
      <c r="M52" s="2" t="str">
        <f t="shared" si="63"/>
        <v/>
      </c>
      <c r="N52" s="2" t="str">
        <f t="shared" si="63"/>
        <v/>
      </c>
      <c r="O52" s="2" t="str">
        <f t="shared" si="63"/>
        <v/>
      </c>
      <c r="P52" s="2" t="str">
        <f t="shared" si="63"/>
        <v/>
      </c>
      <c r="Q52" s="2" t="str">
        <f t="shared" si="64"/>
        <v/>
      </c>
      <c r="R52" s="105" t="str">
        <f t="shared" si="79"/>
        <v/>
      </c>
      <c r="S52" s="105" t="str">
        <f>IF(LEFT($F52,1)="*",IF(VLOOKUP($H52,ELENCHI!$BG$24:$BO$123,5,FALSE)=LEN(R52),0,1),"")</f>
        <v/>
      </c>
      <c r="T52" s="105" t="str">
        <f>IF(S52=0,IFERROR(LEFT(R52,VLOOKUP($H52,ELENCHI!$BG$24:$CB$123,5,FALSE)-VLOOKUP($H52,ELENCHI!$BG$24:$CB$123,10,FALSE))&amp;IF(VLOOKUP($H52,ELENCHI!$BG$24:$CB$123,10,FALSE)=0,"",",")&amp;RIGHT(R52,VLOOKUP($H52,ELENCHI!$BG$24:$CB$123,10,FALSE)),""),"!!!")</f>
        <v>!!!</v>
      </c>
      <c r="U52" s="2" t="str">
        <f t="shared" si="68"/>
        <v/>
      </c>
      <c r="V52" s="2" t="str">
        <f>IF(LEFT($F52,1)="*",IF(VLOOKUP($H52,ELENCHI!$BG$24:$BO$123,6,FALSE)=LEN(U52),0,1),"")</f>
        <v/>
      </c>
      <c r="W52" s="2" t="str">
        <f>IF(V52=0,IFERROR(LEFT(U52,VLOOKUP($H52,ELENCHI!$BG$24:$CB$123,6,FALSE)-VLOOKUP($H52,ELENCHI!$BG$24:$CB$123,11,FALSE))&amp;IF(VLOOKUP($H52,ELENCHI!$BG$24:$CB$123,11,FALSE)=0,"",",")&amp;RIGHT(U52,VLOOKUP($H52,ELENCHI!$BG$24:$CB$123,11,FALSE)),""),"!!!")</f>
        <v>!!!</v>
      </c>
      <c r="X52" s="105" t="str">
        <f t="shared" si="69"/>
        <v/>
      </c>
      <c r="Y52" s="105" t="str">
        <f>IF(LEFT($F52,1)="*",IF(VLOOKUP($H52,ELENCHI!$BG$24:$BO$123,7,FALSE)=LEN(X52),0,1),"")</f>
        <v/>
      </c>
      <c r="Z52" s="105" t="str">
        <f>IF(Y52=0,IFERROR(LEFT(X52,VLOOKUP($H52,ELENCHI!$BG$24:$CB$123,7,FALSE)-VLOOKUP($H52,ELENCHI!$BG$24:$CB$123,12,FALSE))&amp;IF(VLOOKUP($H52,ELENCHI!$BG$24:$CB$123,12,FALSE)=0,"",",")&amp;RIGHT(X52,VLOOKUP($H52,ELENCHI!$BG$24:$CB$123,12,FALSE)),""),"!!!")</f>
        <v>!!!</v>
      </c>
      <c r="AA52" s="113" t="str">
        <f t="shared" si="70"/>
        <v/>
      </c>
      <c r="AB52" s="113" t="str">
        <f>IF(LEFT($F52,1)="*",IF(VLOOKUP($H52,ELENCHI!$BG$24:$BO$123,8,FALSE)=LEN(AA52),0,1),"")</f>
        <v/>
      </c>
      <c r="AC52" s="113" t="str">
        <f>IF(AB52=0,IFERROR(LEFT(AA52,VLOOKUP($H52,ELENCHI!$BG$24:$CB$123,8,FALSE)-VLOOKUP($H52,ELENCHI!$BG$24:$CB$123,13,FALSE))&amp;IF(VLOOKUP($H52,ELENCHI!$BG$24:$CB$123,13,FALSE)=0,"",",")&amp;RIGHT(AA52,VLOOKUP($H52,ELENCHI!$BG$24:$CB$123,13,FALSE)),""),"!!!")</f>
        <v>!!!</v>
      </c>
      <c r="AD52" s="105" t="str">
        <f t="shared" si="71"/>
        <v/>
      </c>
      <c r="AE52" s="105" t="str">
        <f>IF(LEFT($F52,1)="*",IF(VLOOKUP($H52,ELENCHI!$BG$24:$BO$123,9,FALSE)=LEN(AD52),0,1),"")</f>
        <v/>
      </c>
      <c r="AF52" s="105" t="str">
        <f>IF(AE52=0,IFERROR(LEFT(AD52,VLOOKUP($H52,ELENCHI!$BG$24:$CB$123,9,FALSE)-VLOOKUP($H52,ELENCHI!$BG$24:$CB$123,14,FALSE))&amp;IF(VLOOKUP($H52,ELENCHI!$BG$24:$CB$123,14,FALSE)=0,"",",")&amp;RIGHT(AD52,VLOOKUP($H52,ELENCHI!$BG$24:$CB$123,14,FALSE)),""),"!!!")</f>
        <v>!!!</v>
      </c>
      <c r="AG52" s="117">
        <f t="shared" si="72"/>
        <v>0</v>
      </c>
      <c r="AH52" s="2" t="str">
        <f>AM51&amp;IF(H52&lt;&gt;0,VLOOKUP($H52,ELENCHI!$BG$24:$CB$123,16,FALSE)&amp;T52&amp;VLOOKUP($H52,ELENCHI!$BG$24:$CB$123,17,FALSE)&amp;W52&amp;VLOOKUP($H52,ELENCHI!$BG$24:$CB$123,18,FALSE)&amp;Z52&amp;VLOOKUP($H52,ELENCHI!$BG$24:$CB$123,19,FALSE)&amp;AC52&amp;VLOOKUP($H52,ELENCHI!$BG$24:$CB$123,20,FALSE)&amp;AF52&amp;CHAR(10),I52&amp;IF(IFERROR(FIND(CHAR(10),LEFT(B52,LUNGH),1),0)&gt;0,CHAR(10),""))</f>
        <v/>
      </c>
      <c r="AI52" s="3" t="str">
        <f t="shared" si="73"/>
        <v xml:space="preserve"> </v>
      </c>
      <c r="AJ52" s="3">
        <f t="shared" si="74"/>
        <v>999</v>
      </c>
      <c r="AK52" s="3">
        <f t="shared" si="75"/>
        <v>999</v>
      </c>
      <c r="AL52" s="114" t="str">
        <f t="shared" si="65"/>
        <v xml:space="preserve">                                                     </v>
      </c>
      <c r="AM52" s="20" t="str">
        <f t="shared" si="66"/>
        <v/>
      </c>
      <c r="AN52" s="2">
        <f t="shared" si="76"/>
        <v>4</v>
      </c>
      <c r="AO52" s="462" t="str">
        <f t="shared" si="77"/>
        <v xml:space="preserve">                                                     </v>
      </c>
      <c r="AP52" s="462" t="str">
        <f t="shared" si="78"/>
        <v xml:space="preserve">4                                                            
</v>
      </c>
    </row>
    <row r="53" spans="1:42" x14ac:dyDescent="0.25">
      <c r="A53" s="2">
        <f>IF(NUMRD+(ROW()-ROW($A$48))+SUM(STRINGA!$I$8:$M$8)&lt;=NUMRD*2+NUMRDJ,ROW()-ROW($A$48),"")</f>
        <v>5</v>
      </c>
      <c r="B53" s="14" t="str">
        <f t="shared" si="54"/>
        <v/>
      </c>
      <c r="C53" s="433" t="str">
        <f t="shared" si="55"/>
        <v xml:space="preserve"> </v>
      </c>
      <c r="D53" s="3">
        <f t="shared" si="67"/>
        <v>999</v>
      </c>
      <c r="E53" s="3">
        <f t="shared" si="56"/>
        <v>999</v>
      </c>
      <c r="F53" s="19" t="str">
        <f t="shared" si="57"/>
        <v xml:space="preserve">                                                     </v>
      </c>
      <c r="G53" s="20" t="str">
        <f t="shared" si="58"/>
        <v/>
      </c>
      <c r="H53" s="3">
        <f t="shared" si="59"/>
        <v>0</v>
      </c>
      <c r="I53" s="2" t="str">
        <f t="shared" si="60"/>
        <v/>
      </c>
      <c r="J53" s="2">
        <f t="shared" si="61"/>
        <v>53</v>
      </c>
      <c r="K53" s="3" t="str">
        <f t="shared" si="62"/>
        <v>0</v>
      </c>
      <c r="L53" s="2" t="str">
        <f t="shared" si="63"/>
        <v/>
      </c>
      <c r="M53" s="2" t="str">
        <f t="shared" si="63"/>
        <v/>
      </c>
      <c r="N53" s="2" t="str">
        <f t="shared" si="63"/>
        <v/>
      </c>
      <c r="O53" s="2" t="str">
        <f t="shared" si="63"/>
        <v/>
      </c>
      <c r="P53" s="2" t="str">
        <f t="shared" si="63"/>
        <v/>
      </c>
      <c r="Q53" s="2" t="str">
        <f t="shared" si="64"/>
        <v/>
      </c>
      <c r="R53" s="105" t="str">
        <f t="shared" si="79"/>
        <v/>
      </c>
      <c r="S53" s="105" t="str">
        <f>IF(LEFT($F53,1)="*",IF(VLOOKUP($H53,ELENCHI!$BG$24:$BO$123,5,FALSE)=LEN(R53),0,1),"")</f>
        <v/>
      </c>
      <c r="T53" s="105" t="str">
        <f>IF(S53=0,IFERROR(LEFT(R53,VLOOKUP($H53,ELENCHI!$BG$24:$CB$123,5,FALSE)-VLOOKUP($H53,ELENCHI!$BG$24:$CB$123,10,FALSE))&amp;IF(VLOOKUP($H53,ELENCHI!$BG$24:$CB$123,10,FALSE)=0,"",",")&amp;RIGHT(R53,VLOOKUP($H53,ELENCHI!$BG$24:$CB$123,10,FALSE)),""),"!!!")</f>
        <v>!!!</v>
      </c>
      <c r="U53" s="2" t="str">
        <f t="shared" si="68"/>
        <v/>
      </c>
      <c r="V53" s="2" t="str">
        <f>IF(LEFT($F53,1)="*",IF(VLOOKUP($H53,ELENCHI!$BG$24:$BO$123,6,FALSE)=LEN(U53),0,1),"")</f>
        <v/>
      </c>
      <c r="W53" s="2" t="str">
        <f>IF(V53=0,IFERROR(LEFT(U53,VLOOKUP($H53,ELENCHI!$BG$24:$CB$123,6,FALSE)-VLOOKUP($H53,ELENCHI!$BG$24:$CB$123,11,FALSE))&amp;IF(VLOOKUP($H53,ELENCHI!$BG$24:$CB$123,11,FALSE)=0,"",",")&amp;RIGHT(U53,VLOOKUP($H53,ELENCHI!$BG$24:$CB$123,11,FALSE)),""),"!!!")</f>
        <v>!!!</v>
      </c>
      <c r="X53" s="105" t="str">
        <f t="shared" si="69"/>
        <v/>
      </c>
      <c r="Y53" s="105" t="str">
        <f>IF(LEFT($F53,1)="*",IF(VLOOKUP($H53,ELENCHI!$BG$24:$BO$123,7,FALSE)=LEN(X53),0,1),"")</f>
        <v/>
      </c>
      <c r="Z53" s="105" t="str">
        <f>IF(Y53=0,IFERROR(LEFT(X53,VLOOKUP($H53,ELENCHI!$BG$24:$CB$123,7,FALSE)-VLOOKUP($H53,ELENCHI!$BG$24:$CB$123,12,FALSE))&amp;IF(VLOOKUP($H53,ELENCHI!$BG$24:$CB$123,12,FALSE)=0,"",",")&amp;RIGHT(X53,VLOOKUP($H53,ELENCHI!$BG$24:$CB$123,12,FALSE)),""),"!!!")</f>
        <v>!!!</v>
      </c>
      <c r="AA53" s="113" t="str">
        <f t="shared" si="70"/>
        <v/>
      </c>
      <c r="AB53" s="113" t="str">
        <f>IF(LEFT($F53,1)="*",IF(VLOOKUP($H53,ELENCHI!$BG$24:$BO$123,8,FALSE)=LEN(AA53),0,1),"")</f>
        <v/>
      </c>
      <c r="AC53" s="113" t="str">
        <f>IF(AB53=0,IFERROR(LEFT(AA53,VLOOKUP($H53,ELENCHI!$BG$24:$CB$123,8,FALSE)-VLOOKUP($H53,ELENCHI!$BG$24:$CB$123,13,FALSE))&amp;IF(VLOOKUP($H53,ELENCHI!$BG$24:$CB$123,13,FALSE)=0,"",",")&amp;RIGHT(AA53,VLOOKUP($H53,ELENCHI!$BG$24:$CB$123,13,FALSE)),""),"!!!")</f>
        <v>!!!</v>
      </c>
      <c r="AD53" s="105" t="str">
        <f t="shared" si="71"/>
        <v/>
      </c>
      <c r="AE53" s="105" t="str">
        <f>IF(LEFT($F53,1)="*",IF(VLOOKUP($H53,ELENCHI!$BG$24:$BO$123,9,FALSE)=LEN(AD53),0,1),"")</f>
        <v/>
      </c>
      <c r="AF53" s="105" t="str">
        <f>IF(AE53=0,IFERROR(LEFT(AD53,VLOOKUP($H53,ELENCHI!$BG$24:$CB$123,9,FALSE)-VLOOKUP($H53,ELENCHI!$BG$24:$CB$123,14,FALSE))&amp;IF(VLOOKUP($H53,ELENCHI!$BG$24:$CB$123,14,FALSE)=0,"",",")&amp;RIGHT(AD53,VLOOKUP($H53,ELENCHI!$BG$24:$CB$123,14,FALSE)),""),"!!!")</f>
        <v>!!!</v>
      </c>
      <c r="AG53" s="117">
        <f t="shared" si="72"/>
        <v>0</v>
      </c>
      <c r="AH53" s="2" t="str">
        <f>AM52&amp;IF(H53&lt;&gt;0,VLOOKUP($H53,ELENCHI!$BG$24:$CB$123,16,FALSE)&amp;T53&amp;VLOOKUP($H53,ELENCHI!$BG$24:$CB$123,17,FALSE)&amp;W53&amp;VLOOKUP($H53,ELENCHI!$BG$24:$CB$123,18,FALSE)&amp;Z53&amp;VLOOKUP($H53,ELENCHI!$BG$24:$CB$123,19,FALSE)&amp;AC53&amp;VLOOKUP($H53,ELENCHI!$BG$24:$CB$123,20,FALSE)&amp;AF53&amp;CHAR(10),I53&amp;IF(IFERROR(FIND(CHAR(10),LEFT(B53,LUNGH),1),0)&gt;0,CHAR(10),""))</f>
        <v/>
      </c>
      <c r="AI53" s="3" t="str">
        <f t="shared" si="73"/>
        <v xml:space="preserve"> </v>
      </c>
      <c r="AJ53" s="3">
        <f t="shared" si="74"/>
        <v>999</v>
      </c>
      <c r="AK53" s="3">
        <f t="shared" si="75"/>
        <v>999</v>
      </c>
      <c r="AL53" s="114" t="str">
        <f t="shared" si="65"/>
        <v xml:space="preserve">                                                     </v>
      </c>
      <c r="AM53" s="20" t="str">
        <f t="shared" si="66"/>
        <v/>
      </c>
      <c r="AN53" s="2">
        <f t="shared" si="76"/>
        <v>5</v>
      </c>
      <c r="AO53" s="462" t="str">
        <f t="shared" si="77"/>
        <v xml:space="preserve">                                                     </v>
      </c>
      <c r="AP53" s="462" t="str">
        <f t="shared" si="78"/>
        <v xml:space="preserve">5                                                            
</v>
      </c>
    </row>
    <row r="54" spans="1:42" x14ac:dyDescent="0.25">
      <c r="A54" s="2">
        <f>IF(NUMRD+(ROW()-ROW($A$48))+SUM(STRINGA!$I$8:$M$8)&lt;=NUMRD*2+NUMRDJ,ROW()-ROW($A$48),"")</f>
        <v>6</v>
      </c>
      <c r="B54" s="14" t="str">
        <f t="shared" si="54"/>
        <v/>
      </c>
      <c r="C54" s="433" t="str">
        <f t="shared" si="55"/>
        <v xml:space="preserve"> </v>
      </c>
      <c r="D54" s="3">
        <f t="shared" si="67"/>
        <v>999</v>
      </c>
      <c r="E54" s="3">
        <f>IFERROR(FIND(CHAR(10),B54,2)-1-IF(LEFT(B54,1)=CHAR(10),1,0),999)</f>
        <v>999</v>
      </c>
      <c r="F54" s="19" t="str">
        <f t="shared" si="57"/>
        <v xml:space="preserve">                                                     </v>
      </c>
      <c r="G54" s="20" t="str">
        <f t="shared" si="58"/>
        <v/>
      </c>
      <c r="H54" s="3">
        <f t="shared" si="59"/>
        <v>0</v>
      </c>
      <c r="I54" s="2" t="str">
        <f t="shared" si="60"/>
        <v/>
      </c>
      <c r="J54" s="2">
        <f t="shared" si="61"/>
        <v>53</v>
      </c>
      <c r="K54" s="3" t="str">
        <f t="shared" si="62"/>
        <v>0</v>
      </c>
      <c r="L54" s="2" t="str">
        <f t="shared" si="63"/>
        <v/>
      </c>
      <c r="M54" s="2" t="str">
        <f t="shared" si="63"/>
        <v/>
      </c>
      <c r="N54" s="2" t="str">
        <f t="shared" si="63"/>
        <v/>
      </c>
      <c r="O54" s="2" t="str">
        <f t="shared" si="63"/>
        <v/>
      </c>
      <c r="P54" s="2" t="str">
        <f t="shared" si="63"/>
        <v/>
      </c>
      <c r="Q54" s="2" t="str">
        <f t="shared" si="64"/>
        <v/>
      </c>
      <c r="R54" s="105" t="str">
        <f t="shared" si="79"/>
        <v/>
      </c>
      <c r="S54" s="105" t="str">
        <f>IF(LEFT($F54,1)="*",IF(VLOOKUP($H54,ELENCHI!$BG$24:$BO$123,5,FALSE)=LEN(R54),0,1),"")</f>
        <v/>
      </c>
      <c r="T54" s="105" t="str">
        <f>IF(S54=0,IFERROR(LEFT(R54,VLOOKUP($H54,ELENCHI!$BG$24:$CB$123,5,FALSE)-VLOOKUP($H54,ELENCHI!$BG$24:$CB$123,10,FALSE))&amp;IF(VLOOKUP($H54,ELENCHI!$BG$24:$CB$123,10,FALSE)=0,"",",")&amp;RIGHT(R54,VLOOKUP($H54,ELENCHI!$BG$24:$CB$123,10,FALSE)),""),"!!!")</f>
        <v>!!!</v>
      </c>
      <c r="U54" s="2" t="str">
        <f t="shared" si="68"/>
        <v/>
      </c>
      <c r="V54" s="2" t="str">
        <f>IF(LEFT($F54,1)="*",IF(VLOOKUP($H54,ELENCHI!$BG$24:$BO$123,6,FALSE)=LEN(U54),0,1),"")</f>
        <v/>
      </c>
      <c r="W54" s="2" t="str">
        <f>IF(V54=0,IFERROR(LEFT(U54,VLOOKUP($H54,ELENCHI!$BG$24:$CB$123,6,FALSE)-VLOOKUP($H54,ELENCHI!$BG$24:$CB$123,11,FALSE))&amp;IF(VLOOKUP($H54,ELENCHI!$BG$24:$CB$123,11,FALSE)=0,"",",")&amp;RIGHT(U54,VLOOKUP($H54,ELENCHI!$BG$24:$CB$123,11,FALSE)),""),"!!!")</f>
        <v>!!!</v>
      </c>
      <c r="X54" s="105" t="str">
        <f t="shared" si="69"/>
        <v/>
      </c>
      <c r="Y54" s="105" t="str">
        <f>IF(LEFT($F54,1)="*",IF(VLOOKUP($H54,ELENCHI!$BG$24:$BO$123,7,FALSE)=LEN(X54),0,1),"")</f>
        <v/>
      </c>
      <c r="Z54" s="105" t="str">
        <f>IF(Y54=0,IFERROR(LEFT(X54,VLOOKUP($H54,ELENCHI!$BG$24:$CB$123,7,FALSE)-VLOOKUP($H54,ELENCHI!$BG$24:$CB$123,12,FALSE))&amp;IF(VLOOKUP($H54,ELENCHI!$BG$24:$CB$123,12,FALSE)=0,"",",")&amp;RIGHT(X54,VLOOKUP($H54,ELENCHI!$BG$24:$CB$123,12,FALSE)),""),"!!!")</f>
        <v>!!!</v>
      </c>
      <c r="AA54" s="113" t="str">
        <f t="shared" si="70"/>
        <v/>
      </c>
      <c r="AB54" s="113" t="str">
        <f>IF(LEFT($F54,1)="*",IF(VLOOKUP($H54,ELENCHI!$BG$24:$BO$123,8,FALSE)=LEN(AA54),0,1),"")</f>
        <v/>
      </c>
      <c r="AC54" s="113" t="str">
        <f>IF(AB54=0,IFERROR(LEFT(AA54,VLOOKUP($H54,ELENCHI!$BG$24:$CB$123,8,FALSE)-VLOOKUP($H54,ELENCHI!$BG$24:$CB$123,13,FALSE))&amp;IF(VLOOKUP($H54,ELENCHI!$BG$24:$CB$123,13,FALSE)=0,"",",")&amp;RIGHT(AA54,VLOOKUP($H54,ELENCHI!$BG$24:$CB$123,13,FALSE)),""),"!!!")</f>
        <v>!!!</v>
      </c>
      <c r="AD54" s="105" t="str">
        <f t="shared" si="71"/>
        <v/>
      </c>
      <c r="AE54" s="105" t="str">
        <f>IF(LEFT($F54,1)="*",IF(VLOOKUP($H54,ELENCHI!$BG$24:$BO$123,9,FALSE)=LEN(AD54),0,1),"")</f>
        <v/>
      </c>
      <c r="AF54" s="105" t="str">
        <f>IF(AE54=0,IFERROR(LEFT(AD54,VLOOKUP($H54,ELENCHI!$BG$24:$CB$123,9,FALSE)-VLOOKUP($H54,ELENCHI!$BG$24:$CB$123,14,FALSE))&amp;IF(VLOOKUP($H54,ELENCHI!$BG$24:$CB$123,14,FALSE)=0,"",",")&amp;RIGHT(AD54,VLOOKUP($H54,ELENCHI!$BG$24:$CB$123,14,FALSE)),""),"!!!")</f>
        <v>!!!</v>
      </c>
      <c r="AG54" s="117">
        <f t="shared" si="72"/>
        <v>0</v>
      </c>
      <c r="AH54" s="2" t="str">
        <f>AM53&amp;IF(H54&lt;&gt;0,VLOOKUP($H54,ELENCHI!$BG$24:$CB$123,16,FALSE)&amp;T54&amp;VLOOKUP($H54,ELENCHI!$BG$24:$CB$123,17,FALSE)&amp;W54&amp;VLOOKUP($H54,ELENCHI!$BG$24:$CB$123,18,FALSE)&amp;Z54&amp;VLOOKUP($H54,ELENCHI!$BG$24:$CB$123,19,FALSE)&amp;AC54&amp;VLOOKUP($H54,ELENCHI!$BG$24:$CB$123,20,FALSE)&amp;AF54&amp;CHAR(10),I54&amp;IF(IFERROR(FIND(CHAR(10),LEFT(B54,LUNGH),1),0)&gt;0,CHAR(10),""))</f>
        <v/>
      </c>
      <c r="AI54" s="3" t="str">
        <f t="shared" si="73"/>
        <v xml:space="preserve"> </v>
      </c>
      <c r="AJ54" s="3">
        <f t="shared" si="74"/>
        <v>999</v>
      </c>
      <c r="AK54" s="3">
        <f t="shared" si="75"/>
        <v>999</v>
      </c>
      <c r="AL54" s="114" t="str">
        <f t="shared" si="65"/>
        <v xml:space="preserve">                                                     </v>
      </c>
      <c r="AM54" s="20" t="str">
        <f t="shared" si="66"/>
        <v/>
      </c>
      <c r="AN54" s="2">
        <f t="shared" si="76"/>
        <v>6</v>
      </c>
      <c r="AO54" s="462" t="str">
        <f t="shared" si="77"/>
        <v xml:space="preserve">                                                     </v>
      </c>
      <c r="AP54" s="462" t="str">
        <f t="shared" si="78"/>
        <v xml:space="preserve">6                                                            
</v>
      </c>
    </row>
    <row r="55" spans="1:42" x14ac:dyDescent="0.25">
      <c r="A55" s="2">
        <f>IF(NUMRD+(ROW()-ROW($A$48))+SUM(STRINGA!$I$8:$M$8)&lt;=NUMRD*2+NUMRDJ,ROW()-ROW($A$48),"")</f>
        <v>7</v>
      </c>
      <c r="B55" s="14" t="str">
        <f t="shared" si="54"/>
        <v/>
      </c>
      <c r="C55" s="433" t="str">
        <f t="shared" si="55"/>
        <v xml:space="preserve"> </v>
      </c>
      <c r="D55" s="3">
        <f t="shared" si="67"/>
        <v>999</v>
      </c>
      <c r="E55" s="3">
        <f t="shared" ref="E55:E57" si="80">IFERROR(FIND(CHAR(10),B55,2)-1-IF(LEFT(B55,1)=CHAR(10),1,0),999)</f>
        <v>999</v>
      </c>
      <c r="F55" s="19" t="str">
        <f t="shared" si="57"/>
        <v xml:space="preserve">                                                     </v>
      </c>
      <c r="G55" s="20" t="str">
        <f t="shared" si="58"/>
        <v/>
      </c>
      <c r="H55" s="3">
        <f t="shared" si="59"/>
        <v>0</v>
      </c>
      <c r="I55" s="2" t="str">
        <f t="shared" si="60"/>
        <v/>
      </c>
      <c r="J55" s="2">
        <f t="shared" si="61"/>
        <v>53</v>
      </c>
      <c r="K55" s="3" t="str">
        <f t="shared" si="62"/>
        <v>0</v>
      </c>
      <c r="L55" s="2" t="str">
        <f t="shared" si="63"/>
        <v/>
      </c>
      <c r="M55" s="2" t="str">
        <f t="shared" si="63"/>
        <v/>
      </c>
      <c r="N55" s="2" t="str">
        <f t="shared" si="63"/>
        <v/>
      </c>
      <c r="O55" s="2" t="str">
        <f t="shared" si="63"/>
        <v/>
      </c>
      <c r="P55" s="2" t="str">
        <f t="shared" si="63"/>
        <v/>
      </c>
      <c r="Q55" s="2" t="str">
        <f t="shared" si="64"/>
        <v/>
      </c>
      <c r="R55" s="105" t="str">
        <f t="shared" si="79"/>
        <v/>
      </c>
      <c r="S55" s="105" t="str">
        <f>IF(LEFT($F55,1)="*",IF(VLOOKUP($H55,ELENCHI!$BG$24:$BO$123,5,FALSE)=LEN(R55),0,1),"")</f>
        <v/>
      </c>
      <c r="T55" s="105" t="str">
        <f>IF(S55=0,IFERROR(LEFT(R55,VLOOKUP($H55,ELENCHI!$BG$24:$CB$123,5,FALSE)-VLOOKUP($H55,ELENCHI!$BG$24:$CB$123,10,FALSE))&amp;IF(VLOOKUP($H55,ELENCHI!$BG$24:$CB$123,10,FALSE)=0,"",",")&amp;RIGHT(R55,VLOOKUP($H55,ELENCHI!$BG$24:$CB$123,10,FALSE)),""),"!!!")</f>
        <v>!!!</v>
      </c>
      <c r="U55" s="2" t="str">
        <f t="shared" si="68"/>
        <v/>
      </c>
      <c r="V55" s="2" t="str">
        <f>IF(LEFT($F55,1)="*",IF(VLOOKUP($H55,ELENCHI!$BG$24:$BO$123,6,FALSE)=LEN(U55),0,1),"")</f>
        <v/>
      </c>
      <c r="W55" s="2" t="str">
        <f>IF(V55=0,IFERROR(LEFT(U55,VLOOKUP($H55,ELENCHI!$BG$24:$CB$123,6,FALSE)-VLOOKUP($H55,ELENCHI!$BG$24:$CB$123,11,FALSE))&amp;IF(VLOOKUP($H55,ELENCHI!$BG$24:$CB$123,11,FALSE)=0,"",",")&amp;RIGHT(U55,VLOOKUP($H55,ELENCHI!$BG$24:$CB$123,11,FALSE)),""),"!!!")</f>
        <v>!!!</v>
      </c>
      <c r="X55" s="105" t="str">
        <f t="shared" si="69"/>
        <v/>
      </c>
      <c r="Y55" s="105" t="str">
        <f>IF(LEFT($F55,1)="*",IF(VLOOKUP($H55,ELENCHI!$BG$24:$BO$123,7,FALSE)=LEN(X55),0,1),"")</f>
        <v/>
      </c>
      <c r="Z55" s="105" t="str">
        <f>IF(Y55=0,IFERROR(LEFT(X55,VLOOKUP($H55,ELENCHI!$BG$24:$CB$123,7,FALSE)-VLOOKUP($H55,ELENCHI!$BG$24:$CB$123,12,FALSE))&amp;IF(VLOOKUP($H55,ELENCHI!$BG$24:$CB$123,12,FALSE)=0,"",",")&amp;RIGHT(X55,VLOOKUP($H55,ELENCHI!$BG$24:$CB$123,12,FALSE)),""),"!!!")</f>
        <v>!!!</v>
      </c>
      <c r="AA55" s="113" t="str">
        <f t="shared" si="70"/>
        <v/>
      </c>
      <c r="AB55" s="113" t="str">
        <f>IF(LEFT($F55,1)="*",IF(VLOOKUP($H55,ELENCHI!$BG$24:$BO$123,8,FALSE)=LEN(AA55),0,1),"")</f>
        <v/>
      </c>
      <c r="AC55" s="113" t="str">
        <f>IF(AB55=0,IFERROR(LEFT(AA55,VLOOKUP($H55,ELENCHI!$BG$24:$CB$123,8,FALSE)-VLOOKUP($H55,ELENCHI!$BG$24:$CB$123,13,FALSE))&amp;IF(VLOOKUP($H55,ELENCHI!$BG$24:$CB$123,13,FALSE)=0,"",",")&amp;RIGHT(AA55,VLOOKUP($H55,ELENCHI!$BG$24:$CB$123,13,FALSE)),""),"!!!")</f>
        <v>!!!</v>
      </c>
      <c r="AD55" s="105" t="str">
        <f t="shared" si="71"/>
        <v/>
      </c>
      <c r="AE55" s="105" t="str">
        <f>IF(LEFT($F55,1)="*",IF(VLOOKUP($H55,ELENCHI!$BG$24:$BO$123,9,FALSE)=LEN(AD55),0,1),"")</f>
        <v/>
      </c>
      <c r="AF55" s="105" t="str">
        <f>IF(AE55=0,IFERROR(LEFT(AD55,VLOOKUP($H55,ELENCHI!$BG$24:$CB$123,9,FALSE)-VLOOKUP($H55,ELENCHI!$BG$24:$CB$123,14,FALSE))&amp;IF(VLOOKUP($H55,ELENCHI!$BG$24:$CB$123,14,FALSE)=0,"",",")&amp;RIGHT(AD55,VLOOKUP($H55,ELENCHI!$BG$24:$CB$123,14,FALSE)),""),"!!!")</f>
        <v>!!!</v>
      </c>
      <c r="AG55" s="117">
        <f t="shared" si="72"/>
        <v>0</v>
      </c>
      <c r="AH55" s="2" t="str">
        <f>AM54&amp;IF(H55&lt;&gt;0,VLOOKUP($H55,ELENCHI!$BG$24:$CB$123,16,FALSE)&amp;T55&amp;VLOOKUP($H55,ELENCHI!$BG$24:$CB$123,17,FALSE)&amp;W55&amp;VLOOKUP($H55,ELENCHI!$BG$24:$CB$123,18,FALSE)&amp;Z55&amp;VLOOKUP($H55,ELENCHI!$BG$24:$CB$123,19,FALSE)&amp;AC55&amp;VLOOKUP($H55,ELENCHI!$BG$24:$CB$123,20,FALSE)&amp;AF55&amp;CHAR(10),I55&amp;IF(IFERROR(FIND(CHAR(10),LEFT(B55,LUNGH),1),0)&gt;0,CHAR(10),""))</f>
        <v/>
      </c>
      <c r="AI55" s="3" t="str">
        <f t="shared" si="73"/>
        <v xml:space="preserve"> </v>
      </c>
      <c r="AJ55" s="3">
        <f t="shared" si="74"/>
        <v>999</v>
      </c>
      <c r="AK55" s="3">
        <f t="shared" si="75"/>
        <v>999</v>
      </c>
      <c r="AL55" s="114" t="str">
        <f t="shared" si="65"/>
        <v xml:space="preserve">                                                     </v>
      </c>
      <c r="AM55" s="20" t="str">
        <f t="shared" si="66"/>
        <v/>
      </c>
      <c r="AN55" s="2">
        <f t="shared" si="76"/>
        <v>7</v>
      </c>
      <c r="AO55" s="462" t="str">
        <f t="shared" si="77"/>
        <v xml:space="preserve">                                                     </v>
      </c>
      <c r="AP55" s="462" t="str">
        <f t="shared" si="78"/>
        <v xml:space="preserve">7                                                            
</v>
      </c>
    </row>
    <row r="56" spans="1:42" x14ac:dyDescent="0.25">
      <c r="A56" s="2">
        <f>IF(NUMRD+(ROW()-ROW($A$48))+SUM(STRINGA!$I$8:$M$8)&lt;=NUMRD*2+NUMRDJ,ROW()-ROW($A$48),"")</f>
        <v>8</v>
      </c>
      <c r="B56" s="14" t="str">
        <f t="shared" si="54"/>
        <v/>
      </c>
      <c r="C56" s="433" t="str">
        <f t="shared" si="55"/>
        <v xml:space="preserve"> </v>
      </c>
      <c r="D56" s="3">
        <f t="shared" si="67"/>
        <v>999</v>
      </c>
      <c r="E56" s="3">
        <f t="shared" si="80"/>
        <v>999</v>
      </c>
      <c r="F56" s="19" t="str">
        <f t="shared" si="57"/>
        <v xml:space="preserve">                                                     </v>
      </c>
      <c r="G56" s="20" t="str">
        <f t="shared" si="58"/>
        <v/>
      </c>
      <c r="H56" s="3">
        <f t="shared" si="59"/>
        <v>0</v>
      </c>
      <c r="I56" s="2" t="str">
        <f t="shared" si="60"/>
        <v/>
      </c>
      <c r="J56" s="2">
        <f t="shared" si="61"/>
        <v>53</v>
      </c>
      <c r="K56" s="3" t="str">
        <f t="shared" si="62"/>
        <v>0</v>
      </c>
      <c r="L56" s="2" t="str">
        <f t="shared" si="63"/>
        <v/>
      </c>
      <c r="M56" s="2" t="str">
        <f t="shared" si="63"/>
        <v/>
      </c>
      <c r="N56" s="2" t="str">
        <f t="shared" si="63"/>
        <v/>
      </c>
      <c r="O56" s="2" t="str">
        <f t="shared" si="63"/>
        <v/>
      </c>
      <c r="P56" s="2" t="str">
        <f t="shared" si="63"/>
        <v/>
      </c>
      <c r="Q56" s="2" t="str">
        <f t="shared" si="64"/>
        <v/>
      </c>
      <c r="R56" s="105" t="str">
        <f t="shared" si="79"/>
        <v/>
      </c>
      <c r="S56" s="105" t="str">
        <f>IF(LEFT($F56,1)="*",IF(VLOOKUP($H56,ELENCHI!$BG$24:$BO$123,5,FALSE)=LEN(R56),0,1),"")</f>
        <v/>
      </c>
      <c r="T56" s="105" t="str">
        <f>IF(S56=0,IFERROR(LEFT(R56,VLOOKUP($H56,ELENCHI!$BG$24:$CB$123,5,FALSE)-VLOOKUP($H56,ELENCHI!$BG$24:$CB$123,10,FALSE))&amp;IF(VLOOKUP($H56,ELENCHI!$BG$24:$CB$123,10,FALSE)=0,"",",")&amp;RIGHT(R56,VLOOKUP($H56,ELENCHI!$BG$24:$CB$123,10,FALSE)),""),"!!!")</f>
        <v>!!!</v>
      </c>
      <c r="U56" s="2" t="str">
        <f t="shared" si="68"/>
        <v/>
      </c>
      <c r="V56" s="2" t="str">
        <f>IF(LEFT($F56,1)="*",IF(VLOOKUP($H56,ELENCHI!$BG$24:$BO$123,6,FALSE)=LEN(U56),0,1),"")</f>
        <v/>
      </c>
      <c r="W56" s="2" t="str">
        <f>IF(V56=0,IFERROR(LEFT(U56,VLOOKUP($H56,ELENCHI!$BG$24:$CB$123,6,FALSE)-VLOOKUP($H56,ELENCHI!$BG$24:$CB$123,11,FALSE))&amp;IF(VLOOKUP($H56,ELENCHI!$BG$24:$CB$123,11,FALSE)=0,"",",")&amp;RIGHT(U56,VLOOKUP($H56,ELENCHI!$BG$24:$CB$123,11,FALSE)),""),"!!!")</f>
        <v>!!!</v>
      </c>
      <c r="X56" s="105" t="str">
        <f t="shared" si="69"/>
        <v/>
      </c>
      <c r="Y56" s="105" t="str">
        <f>IF(LEFT($F56,1)="*",IF(VLOOKUP($H56,ELENCHI!$BG$24:$BO$123,7,FALSE)=LEN(X56),0,1),"")</f>
        <v/>
      </c>
      <c r="Z56" s="105" t="str">
        <f>IF(Y56=0,IFERROR(LEFT(X56,VLOOKUP($H56,ELENCHI!$BG$24:$CB$123,7,FALSE)-VLOOKUP($H56,ELENCHI!$BG$24:$CB$123,12,FALSE))&amp;IF(VLOOKUP($H56,ELENCHI!$BG$24:$CB$123,12,FALSE)=0,"",",")&amp;RIGHT(X56,VLOOKUP($H56,ELENCHI!$BG$24:$CB$123,12,FALSE)),""),"!!!")</f>
        <v>!!!</v>
      </c>
      <c r="AA56" s="113" t="str">
        <f t="shared" si="70"/>
        <v/>
      </c>
      <c r="AB56" s="113" t="str">
        <f>IF(LEFT($F56,1)="*",IF(VLOOKUP($H56,ELENCHI!$BG$24:$BO$123,8,FALSE)=LEN(AA56),0,1),"")</f>
        <v/>
      </c>
      <c r="AC56" s="113" t="str">
        <f>IF(AB56=0,IFERROR(LEFT(AA56,VLOOKUP($H56,ELENCHI!$BG$24:$CB$123,8,FALSE)-VLOOKUP($H56,ELENCHI!$BG$24:$CB$123,13,FALSE))&amp;IF(VLOOKUP($H56,ELENCHI!$BG$24:$CB$123,13,FALSE)=0,"",",")&amp;RIGHT(AA56,VLOOKUP($H56,ELENCHI!$BG$24:$CB$123,13,FALSE)),""),"!!!")</f>
        <v>!!!</v>
      </c>
      <c r="AD56" s="105" t="str">
        <f t="shared" si="71"/>
        <v/>
      </c>
      <c r="AE56" s="105" t="str">
        <f>IF(LEFT($F56,1)="*",IF(VLOOKUP($H56,ELENCHI!$BG$24:$BO$123,9,FALSE)=LEN(AD56),0,1),"")</f>
        <v/>
      </c>
      <c r="AF56" s="105" t="str">
        <f>IF(AE56=0,IFERROR(LEFT(AD56,VLOOKUP($H56,ELENCHI!$BG$24:$CB$123,9,FALSE)-VLOOKUP($H56,ELENCHI!$BG$24:$CB$123,14,FALSE))&amp;IF(VLOOKUP($H56,ELENCHI!$BG$24:$CB$123,14,FALSE)=0,"",",")&amp;RIGHT(AD56,VLOOKUP($H56,ELENCHI!$BG$24:$CB$123,14,FALSE)),""),"!!!")</f>
        <v>!!!</v>
      </c>
      <c r="AG56" s="117">
        <f t="shared" si="72"/>
        <v>0</v>
      </c>
      <c r="AH56" s="2" t="str">
        <f>AM55&amp;IF(H56&lt;&gt;0,VLOOKUP($H56,ELENCHI!$BG$24:$CB$123,16,FALSE)&amp;T56&amp;VLOOKUP($H56,ELENCHI!$BG$24:$CB$123,17,FALSE)&amp;W56&amp;VLOOKUP($H56,ELENCHI!$BG$24:$CB$123,18,FALSE)&amp;Z56&amp;VLOOKUP($H56,ELENCHI!$BG$24:$CB$123,19,FALSE)&amp;AC56&amp;VLOOKUP($H56,ELENCHI!$BG$24:$CB$123,20,FALSE)&amp;AF56&amp;CHAR(10),I56&amp;IF(IFERROR(FIND(CHAR(10),LEFT(B56,LUNGH),1),0)&gt;0,CHAR(10),""))</f>
        <v/>
      </c>
      <c r="AI56" s="3" t="str">
        <f t="shared" si="73"/>
        <v xml:space="preserve"> </v>
      </c>
      <c r="AJ56" s="3">
        <f t="shared" si="74"/>
        <v>999</v>
      </c>
      <c r="AK56" s="3">
        <f t="shared" si="75"/>
        <v>999</v>
      </c>
      <c r="AL56" s="114" t="str">
        <f t="shared" si="65"/>
        <v xml:space="preserve">                                                     </v>
      </c>
      <c r="AM56" s="20" t="str">
        <f t="shared" si="66"/>
        <v/>
      </c>
      <c r="AN56" s="2">
        <f t="shared" si="76"/>
        <v>8</v>
      </c>
      <c r="AO56" s="462" t="str">
        <f t="shared" si="77"/>
        <v xml:space="preserve">                                                     </v>
      </c>
      <c r="AP56" s="462" t="str">
        <f t="shared" si="78"/>
        <v xml:space="preserve">8                                                            
</v>
      </c>
    </row>
    <row r="57" spans="1:42" x14ac:dyDescent="0.25">
      <c r="A57" s="117">
        <f>IF(NUMRD+(ROW()-ROW($A$48))+SUM(STRINGA!$I$8:$M$8)&lt;=NUMRD*2+NUMRDJ,ROW()-ROW($A$48),"")</f>
        <v>9</v>
      </c>
      <c r="B57" s="145" t="str">
        <f t="shared" si="54"/>
        <v/>
      </c>
      <c r="C57" s="482" t="str">
        <f t="shared" si="55"/>
        <v xml:space="preserve"> </v>
      </c>
      <c r="D57" s="146">
        <f t="shared" si="67"/>
        <v>999</v>
      </c>
      <c r="E57" s="146">
        <f t="shared" si="80"/>
        <v>999</v>
      </c>
      <c r="F57" s="144" t="str">
        <f t="shared" si="57"/>
        <v xml:space="preserve">                                                     </v>
      </c>
      <c r="G57" s="147" t="str">
        <f t="shared" si="58"/>
        <v/>
      </c>
      <c r="H57" s="146">
        <f t="shared" si="59"/>
        <v>0</v>
      </c>
      <c r="I57" s="143" t="str">
        <f>CLEAN(LEFT(LEFT(CLEAN(B57),MIN(D57,E57)),LUNGH))</f>
        <v/>
      </c>
      <c r="K57" s="4"/>
      <c r="AF57" s="437" t="s">
        <v>803</v>
      </c>
      <c r="AG57" s="423">
        <f>SUM(AG49:AG56)</f>
        <v>0</v>
      </c>
      <c r="AH57" s="2" t="str">
        <f>AM56&amp;IF(H57&lt;&gt;0,VLOOKUP($H57,ELENCHI!$BG$24:$CB$123,16,FALSE)&amp;T57&amp;VLOOKUP($H57,ELENCHI!$BG$24:$CB$123,17,FALSE)&amp;W57&amp;VLOOKUP($H57,ELENCHI!$BG$24:$CB$123,18,FALSE)&amp;Z57&amp;VLOOKUP($H57,ELENCHI!$BG$24:$CB$123,19,FALSE)&amp;AC57&amp;VLOOKUP($H57,ELENCHI!$BG$24:$CB$123,20,FALSE)&amp;AF57&amp;CHAR(10),I57&amp;IF(IFERROR(FIND(CHAR(10),LEFT(B57,LUNGH),1),0)&gt;0,CHAR(10),""))</f>
        <v/>
      </c>
      <c r="AI57" s="3" t="str">
        <f t="shared" si="73"/>
        <v xml:space="preserve"> </v>
      </c>
      <c r="AJ57" s="3">
        <f t="shared" si="74"/>
        <v>999</v>
      </c>
      <c r="AK57" s="3">
        <f t="shared" si="75"/>
        <v>999</v>
      </c>
      <c r="AL57" s="114" t="str">
        <f t="shared" si="65"/>
        <v xml:space="preserve">                                                     </v>
      </c>
      <c r="AM57" s="20" t="str">
        <f t="shared" si="66"/>
        <v/>
      </c>
      <c r="AN57" s="463" t="s">
        <v>778</v>
      </c>
      <c r="AO57" s="463"/>
      <c r="AP57" s="463"/>
    </row>
    <row r="58" spans="1:42" x14ac:dyDescent="0.25">
      <c r="A58" s="485" t="s">
        <v>778</v>
      </c>
      <c r="B58" s="48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AF58" s="613" t="s">
        <v>804</v>
      </c>
      <c r="AG58" s="611" t="str">
        <f>IFERROR(IF(AG57&gt;0,": ERRORE, LUNGHEZZA DATI ASTERISCATA","                                    "),":   ERRORE, ASTERISCATA NON IN ELENCO O ERRATA")</f>
        <v xml:space="preserve">                                    </v>
      </c>
      <c r="AH58" s="2" t="str">
        <f>AM57&amp;IF(H58&lt;&gt;0,VLOOKUP($H58,ELENCHI!$BG$24:$CB$123,16,FALSE)&amp;T58&amp;VLOOKUP($H58,ELENCHI!$BG$24:$CB$123,17,FALSE)&amp;W58&amp;VLOOKUP($H58,ELENCHI!$BG$24:$CB$123,18,FALSE)&amp;Z58&amp;VLOOKUP($H58,ELENCHI!$BG$24:$CB$123,19,FALSE)&amp;AC58&amp;VLOOKUP($H58,ELENCHI!$BG$24:$CB$123,20,FALSE)&amp;AF58&amp;CHAR(10),I58&amp;IF(IFERROR(FIND(CHAR(10),LEFT(B58,LUNGH),1),0)&gt;0,CHAR(10),""))</f>
        <v/>
      </c>
      <c r="AI58" s="3" t="str">
        <f t="shared" si="73"/>
        <v xml:space="preserve"> </v>
      </c>
      <c r="AJ58" s="3">
        <f t="shared" si="74"/>
        <v>999</v>
      </c>
      <c r="AK58" s="3">
        <f t="shared" si="75"/>
        <v>999</v>
      </c>
      <c r="AL58" s="114" t="str">
        <f t="shared" si="65"/>
        <v xml:space="preserve">                                                     </v>
      </c>
      <c r="AM58" s="20" t="str">
        <f t="shared" si="66"/>
        <v/>
      </c>
      <c r="AN58" s="608" t="str">
        <f>CONCATENATE(AP49,AP50,AP51,AP52,AP53,AP54,AP55,AP56,)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AO58" s="608"/>
      <c r="AP58" s="608"/>
    </row>
    <row r="59" spans="1:42" ht="49.5" customHeight="1" x14ac:dyDescent="0.25">
      <c r="A59" s="629" t="str">
        <f>CONCATENATE(F49,F50,F51,F52,F53,F54,F55,F56)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59" s="630"/>
      <c r="C59" s="445"/>
      <c r="D59" s="445"/>
      <c r="E59" s="445"/>
      <c r="F59" s="445"/>
      <c r="G59" s="445"/>
      <c r="H59" s="445"/>
      <c r="I59" s="445"/>
      <c r="J59" s="445"/>
      <c r="K59" s="425"/>
      <c r="L59" s="8"/>
      <c r="M59" s="8"/>
      <c r="N59" s="8"/>
      <c r="O59" s="8"/>
      <c r="P59" s="8"/>
      <c r="Q59" s="8"/>
      <c r="AF59" s="613"/>
      <c r="AG59" s="611"/>
      <c r="AH59" s="2" t="str">
        <f>AM58&amp;IF(H59&lt;&gt;0,VLOOKUP($H59,ELENCHI!$BG$24:$CB$123,16,FALSE)&amp;T59&amp;VLOOKUP($H59,ELENCHI!$BG$24:$CB$123,17,FALSE)&amp;W59&amp;VLOOKUP($H59,ELENCHI!$BG$24:$CB$123,18,FALSE)&amp;Z59&amp;VLOOKUP($H59,ELENCHI!$BG$24:$CB$123,19,FALSE)&amp;AC59&amp;VLOOKUP($H59,ELENCHI!$BG$24:$CB$123,20,FALSE)&amp;AF59&amp;CHAR(10),I59&amp;IF(IFERROR(FIND(CHAR(10),LEFT(B59,LUNGH),1),0)&gt;0,CHAR(10),""))</f>
        <v/>
      </c>
      <c r="AI59" s="3" t="str">
        <f t="shared" si="73"/>
        <v xml:space="preserve"> </v>
      </c>
      <c r="AJ59" s="3">
        <f t="shared" si="74"/>
        <v>999</v>
      </c>
      <c r="AK59" s="3">
        <f t="shared" si="75"/>
        <v>999</v>
      </c>
      <c r="AL59" s="114" t="str">
        <f t="shared" si="65"/>
        <v xml:space="preserve">                                                     </v>
      </c>
      <c r="AM59" s="20" t="str">
        <f t="shared" si="66"/>
        <v/>
      </c>
      <c r="AN59" s="608"/>
      <c r="AO59" s="608"/>
      <c r="AP59" s="608"/>
    </row>
    <row r="60" spans="1:42" ht="42" customHeight="1" x14ac:dyDescent="0.25">
      <c r="A60" s="631"/>
      <c r="B60" s="632"/>
      <c r="K60" s="4"/>
      <c r="AF60" s="609" t="s">
        <v>805</v>
      </c>
      <c r="AG60" s="610"/>
      <c r="AH60" s="428" t="str">
        <f>CONCATENATE(AL49,AL50,AL51,AL52,AL53,AL54,AL55,AL56,AL57,AL58,AL59)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I60" s="429"/>
      <c r="AJ60" s="429"/>
      <c r="AK60" s="429"/>
      <c r="AL60" s="429"/>
      <c r="AM60" s="429"/>
      <c r="AN60" s="608"/>
      <c r="AO60" s="608"/>
      <c r="AP60" s="608"/>
    </row>
    <row r="61" spans="1:42" x14ac:dyDescent="0.25">
      <c r="A61" s="488"/>
      <c r="B61" s="489"/>
      <c r="K61" s="4"/>
    </row>
    <row r="62" spans="1:42" s="480" customFormat="1" ht="33.75" x14ac:dyDescent="0.5">
      <c r="A62" s="496" t="s">
        <v>808</v>
      </c>
      <c r="B62" s="497"/>
      <c r="C62" s="478"/>
      <c r="D62" s="478"/>
      <c r="E62" s="478"/>
      <c r="F62" s="478"/>
      <c r="G62" s="478"/>
      <c r="H62" s="478"/>
      <c r="I62" s="478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79"/>
      <c r="AL62" s="479"/>
      <c r="AM62" s="479"/>
      <c r="AN62" s="479"/>
      <c r="AO62" s="479"/>
      <c r="AP62" s="479"/>
    </row>
    <row r="63" spans="1:42" x14ac:dyDescent="0.25">
      <c r="A63" s="485" t="s">
        <v>108</v>
      </c>
      <c r="B63" s="48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41.75" customHeight="1" x14ac:dyDescent="0.25">
      <c r="A64" s="637" t="str">
        <f>UPPER(INSERIMENTO!CQ13)</f>
        <v/>
      </c>
      <c r="B64" s="637"/>
      <c r="C64" s="15"/>
      <c r="D64" s="15"/>
      <c r="E64" s="15"/>
      <c r="F64" s="15"/>
      <c r="I64" s="7"/>
    </row>
    <row r="65" spans="1:42" x14ac:dyDescent="0.25">
      <c r="A65" s="426"/>
      <c r="B65" s="487"/>
      <c r="F65" s="8"/>
      <c r="G65" s="8"/>
      <c r="H65" s="8"/>
      <c r="I65" s="8"/>
      <c r="J65" s="16" t="s">
        <v>770</v>
      </c>
      <c r="K65" s="106"/>
    </row>
    <row r="66" spans="1:42" x14ac:dyDescent="0.25">
      <c r="A66" s="488"/>
      <c r="B66" s="489"/>
      <c r="C66" s="612" t="s">
        <v>771</v>
      </c>
      <c r="D66" s="612"/>
      <c r="E66" s="612"/>
      <c r="J66" s="436">
        <f>SUM(J68:J76)-LEN(I77)</f>
        <v>424</v>
      </c>
      <c r="K66" s="617" t="s">
        <v>771</v>
      </c>
      <c r="L66" s="615"/>
      <c r="M66" s="615"/>
      <c r="N66" s="615"/>
      <c r="O66" s="615"/>
      <c r="P66" s="615"/>
      <c r="Q66" s="616"/>
      <c r="R66" s="617" t="s">
        <v>772</v>
      </c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I66" s="612" t="s">
        <v>773</v>
      </c>
      <c r="AJ66" s="612"/>
      <c r="AK66" s="612"/>
      <c r="AN66" s="460" t="s">
        <v>861</v>
      </c>
      <c r="AO66" s="460"/>
      <c r="AP66" s="460"/>
    </row>
    <row r="67" spans="1:42" x14ac:dyDescent="0.25">
      <c r="A67" s="490" t="s">
        <v>774</v>
      </c>
      <c r="B67" s="491"/>
      <c r="C67" s="447" t="s">
        <v>775</v>
      </c>
      <c r="D67" s="447" t="s">
        <v>776</v>
      </c>
      <c r="E67" s="447" t="s">
        <v>777</v>
      </c>
      <c r="F67" s="447" t="s">
        <v>778</v>
      </c>
      <c r="G67" s="447" t="s">
        <v>779</v>
      </c>
      <c r="H67" s="447" t="s">
        <v>233</v>
      </c>
      <c r="I67" s="447" t="s">
        <v>780</v>
      </c>
      <c r="J67" s="16" t="s">
        <v>781</v>
      </c>
      <c r="K67" s="16">
        <v>0</v>
      </c>
      <c r="L67" s="16" t="s">
        <v>782</v>
      </c>
      <c r="M67" s="16" t="s">
        <v>783</v>
      </c>
      <c r="N67" s="16" t="s">
        <v>784</v>
      </c>
      <c r="O67" s="16" t="s">
        <v>785</v>
      </c>
      <c r="P67" s="16" t="s">
        <v>786</v>
      </c>
      <c r="Q67" s="16" t="s">
        <v>787</v>
      </c>
      <c r="R67" s="16" t="s">
        <v>782</v>
      </c>
      <c r="S67" s="16" t="s">
        <v>788</v>
      </c>
      <c r="T67" s="16" t="s">
        <v>789</v>
      </c>
      <c r="U67" s="16" t="s">
        <v>783</v>
      </c>
      <c r="V67" s="16" t="s">
        <v>790</v>
      </c>
      <c r="W67" s="16" t="s">
        <v>791</v>
      </c>
      <c r="X67" s="16" t="s">
        <v>784</v>
      </c>
      <c r="Y67" s="16" t="s">
        <v>792</v>
      </c>
      <c r="Z67" s="16" t="s">
        <v>793</v>
      </c>
      <c r="AA67" s="16" t="s">
        <v>785</v>
      </c>
      <c r="AB67" s="16" t="s">
        <v>794</v>
      </c>
      <c r="AC67" s="16" t="s">
        <v>795</v>
      </c>
      <c r="AD67" s="16" t="s">
        <v>786</v>
      </c>
      <c r="AE67" s="16" t="s">
        <v>796</v>
      </c>
      <c r="AF67" s="16" t="s">
        <v>797</v>
      </c>
      <c r="AG67" s="16" t="s">
        <v>798</v>
      </c>
      <c r="AH67" s="16" t="s">
        <v>799</v>
      </c>
      <c r="AI67" s="447" t="s">
        <v>775</v>
      </c>
      <c r="AJ67" s="447" t="s">
        <v>776</v>
      </c>
      <c r="AK67" s="447" t="s">
        <v>777</v>
      </c>
      <c r="AL67" s="447" t="s">
        <v>800</v>
      </c>
      <c r="AM67" s="447" t="s">
        <v>801</v>
      </c>
      <c r="AN67" s="461" t="s">
        <v>862</v>
      </c>
      <c r="AO67" s="461" t="s">
        <v>863</v>
      </c>
      <c r="AP67" s="461" t="s">
        <v>864</v>
      </c>
    </row>
    <row r="68" spans="1:42" x14ac:dyDescent="0.25">
      <c r="A68" s="420">
        <f>IF(NUMRD+(ROW()-ROW($A$68))+SUM(STRINGA!$I$8:$M$8)&lt;=NUMRD*2+NUMRDJ,ROW()-ROW($A$68),"")</f>
        <v>0</v>
      </c>
      <c r="B68" s="11" t="s">
        <v>802</v>
      </c>
      <c r="C68" s="43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x14ac:dyDescent="0.25">
      <c r="A69" s="2">
        <f>IF(NUMRD+(ROW()-ROW($A$68))+SUM(STRINGA!$I$8:$M$8)&lt;=NUMRD*2+NUMRDJ,ROW()-ROW($A$68),"")</f>
        <v>1</v>
      </c>
      <c r="B69" s="14" t="str">
        <f t="shared" ref="B69:B77" si="81">IF(OR(LEFT(IFERROR(G68&amp;MID($A$64,(A68)*LUNGH+1,LUNGH),""),1)=CHAR(10),LEFT(IFERROR(G68&amp;MID($A$64,(A68)*LUNGH+1,LUNGH),""),1)=" "),MID(IFERROR(G68&amp;MID($A$64,(A68)*LUNGH+1,LUNGH),""),2,999),IFERROR(G68&amp;MID($A$64,(A68)*LUNGH+1,LUNGH),""))</f>
        <v/>
      </c>
      <c r="C69" s="433" t="str">
        <f t="shared" ref="C69:C77" si="82">IFERROR(FIND("*",B69)," ")</f>
        <v xml:space="preserve"> </v>
      </c>
      <c r="D69" s="3">
        <f t="shared" ref="D69:D77" si="83">IFERROR(FIND("*",B69,C69+1),999)</f>
        <v>999</v>
      </c>
      <c r="E69" s="3">
        <f t="shared" ref="E69:E77" si="84">IFERROR(FIND(CHAR(10),B69,2)-1-IF(LEFT(B69,1)=CHAR(10),1,0),999)</f>
        <v>999</v>
      </c>
      <c r="F69" s="19" t="str">
        <f t="shared" ref="F69:F77" si="85">IF(A69&lt;&gt;"",LEFT(LEFT(CLEAN(B69),MIN(D69,E69))&amp;SPAZI,LUNGH),"")</f>
        <v xml:space="preserve">                                                     </v>
      </c>
      <c r="G69" s="20" t="str">
        <f t="shared" ref="G69:G77" si="86">MID(B69,MIN(D69+1,E69+2,LUNGH+1+IF(E69=LUNGH,1,0)+IF(LEFT(B69,1)=CHAR(10),1,0)),1000)</f>
        <v/>
      </c>
      <c r="H69" s="3">
        <f t="shared" ref="H69:H77" si="87">IF(IFERROR(LEFT(F69,MIN(IFERROR(FIND("=",F69,2)-1,1000),FIND("*",F69,2)-1)),0)="*SOSPE",LEFT(F69,8),IFERROR(IF(C69=1,LEFT(F69,MIN(IFERROR(FIND("=",F69,2)-1,1000),FIND("*",F69,2)-1)),0),0))</f>
        <v>0</v>
      </c>
      <c r="I69" s="2" t="str">
        <f t="shared" ref="I69:I76" si="88">CLEAN(LEFT(LEFT(CLEAN(B69),MIN(D69,E69)),LUNGH))</f>
        <v/>
      </c>
      <c r="J69" s="2">
        <f t="shared" ref="J69:J76" si="89">IF(I70&lt;&gt;"","",LEN(F69)-LEN(I69))</f>
        <v>53</v>
      </c>
      <c r="K69" s="3" t="str">
        <f t="shared" ref="K69:K76" si="90">"0"</f>
        <v>0</v>
      </c>
      <c r="L69" s="2" t="str">
        <f t="shared" ref="L69:P76" si="91">IF(LEFT($F69,1)="*",IFERROR(FIND("=",$F69,K69+1),$D69),"")</f>
        <v/>
      </c>
      <c r="M69" s="2" t="str">
        <f t="shared" si="91"/>
        <v/>
      </c>
      <c r="N69" s="2" t="str">
        <f t="shared" si="91"/>
        <v/>
      </c>
      <c r="O69" s="2" t="str">
        <f t="shared" si="91"/>
        <v/>
      </c>
      <c r="P69" s="2" t="str">
        <f t="shared" si="91"/>
        <v/>
      </c>
      <c r="Q69" s="2" t="str">
        <f t="shared" ref="Q69:Q76" si="92">IF(LEFT($F69,1)="*",IFERROR(FIND("=",$F69,O69+1),$D69),"")</f>
        <v/>
      </c>
      <c r="R69" s="105" t="str">
        <f>IF(LEFT($H69,6)="*SOSPE"," ",IF(LEFT($F69,1)="*",MID($F69,L69+1,MAX(M69-L69-1,0)),""))</f>
        <v/>
      </c>
      <c r="S69" s="105" t="str">
        <f>IF(LEFT($F69,1)="*",IF(VLOOKUP($H69,ELENCHI!$BG$24:$BO$123,5,FALSE)=LEN(R69),0,1),"")</f>
        <v/>
      </c>
      <c r="T69" s="105" t="str">
        <f>IF(S69=0,IFERROR(LEFT(R69,VLOOKUP($H69,ELENCHI!$BG$24:$CB$123,5,FALSE)-VLOOKUP($H69,ELENCHI!$BG$24:$CB$123,10,FALSE))&amp;IF(VLOOKUP($H69,ELENCHI!$BG$24:$CB$123,10,FALSE)=0,"",",")&amp;RIGHT(R69,VLOOKUP($H69,ELENCHI!$BG$24:$CB$123,10,FALSE)),""),"!!!")</f>
        <v>!!!</v>
      </c>
      <c r="U69" s="2" t="str">
        <f>IF(LEFT($F69,1)="*",MID($F69,M69+1,MAX(N69-M69-1,0)),"")</f>
        <v/>
      </c>
      <c r="V69" s="2" t="str">
        <f>IF(LEFT($F69,1)="*",IF(VLOOKUP($H69,ELENCHI!$BG$24:$BO$123,6,FALSE)=LEN(U69),0,1),"")</f>
        <v/>
      </c>
      <c r="W69" s="2" t="str">
        <f>IF(V69=0,IFERROR(LEFT(U69,VLOOKUP($H69,ELENCHI!$BG$24:$CB$123,6,FALSE)-VLOOKUP($H69,ELENCHI!$BG$24:$CB$123,11,FALSE))&amp;IF(VLOOKUP($H69,ELENCHI!$BG$24:$CB$123,11,FALSE)=0,"",",")&amp;RIGHT(U69,VLOOKUP($H69,ELENCHI!$BG$24:$CB$123,11,FALSE)),""),"!!!")</f>
        <v>!!!</v>
      </c>
      <c r="X69" s="105" t="str">
        <f>IF(LEFT($F69,1)="*",MID($F69,N69+1,MAX(O69-N69-1,0)),"")</f>
        <v/>
      </c>
      <c r="Y69" s="105" t="str">
        <f>IF(LEFT($F69,1)="*",IF(VLOOKUP($H69,ELENCHI!$BG$24:$BO$123,7,FALSE)=LEN(X69),0,1),"")</f>
        <v/>
      </c>
      <c r="Z69" s="105" t="str">
        <f>IF(Y69=0,IFERROR(LEFT(X69,VLOOKUP($H69,ELENCHI!$BG$24:$CB$123,7,FALSE)-VLOOKUP($H69,ELENCHI!$BG$24:$CB$123,12,FALSE))&amp;IF(VLOOKUP($H69,ELENCHI!$BG$24:$CB$123,12,FALSE)=0,"",",")&amp;RIGHT(X69,VLOOKUP($H69,ELENCHI!$BG$24:$CB$123,12,FALSE)),""),"!!!")</f>
        <v>!!!</v>
      </c>
      <c r="AA69" s="113" t="str">
        <f>IF(LEFT($F69,1)="*",MID($F69,O69+1,MAX(P69-O69-1,0)),"")</f>
        <v/>
      </c>
      <c r="AB69" s="113" t="str">
        <f>IF(LEFT($F69,1)="*",IF(VLOOKUP($H69,ELENCHI!$BG$24:$BO$123,8,FALSE)=LEN(AA69),0,1),"")</f>
        <v/>
      </c>
      <c r="AC69" s="113" t="str">
        <f>IF(AB69=0,IFERROR(LEFT(AA69,VLOOKUP($H69,ELENCHI!$BG$24:$CB$123,8,FALSE)-VLOOKUP($H69,ELENCHI!$BG$24:$CB$123,13,FALSE))&amp;IF(VLOOKUP($H69,ELENCHI!$BG$24:$CB$123,13,FALSE)=0,"",",")&amp;RIGHT(AA69,VLOOKUP($H69,ELENCHI!$BG$24:$CB$123,13,FALSE)),""),"!!!")</f>
        <v>!!!</v>
      </c>
      <c r="AD69" s="105" t="str">
        <f>IF(LEFT($F69,1)="*",MID($F69,P69+1,MAX(Q69-P69-1,0)),"")</f>
        <v/>
      </c>
      <c r="AE69" s="105" t="str">
        <f>IF(LEFT($F69,1)="*",IF(VLOOKUP($H69,ELENCHI!$BG$24:$BO$123,9,FALSE)=LEN(AD69),0,1),"")</f>
        <v/>
      </c>
      <c r="AF69" s="105" t="str">
        <f>IF(AE69=0,IFERROR(LEFT(AD69,VLOOKUP($H69,ELENCHI!$BG$24:$CB$123,9,FALSE)-VLOOKUP($H69,ELENCHI!$BG$24:$CB$123,14,FALSE))&amp;IF(VLOOKUP($H69,ELENCHI!$BG$24:$CB$123,14,FALSE)=0,"",",")&amp;RIGHT(AD69,VLOOKUP($H69,ELENCHI!$BG$24:$CB$123,14,FALSE)),""),"!!!")</f>
        <v>!!!</v>
      </c>
      <c r="AG69" s="117">
        <f>SUM(S69,V69,Y69,AB69,AE69)</f>
        <v>0</v>
      </c>
      <c r="AH69" s="2" t="str">
        <f>AM68&amp;IF(H69&lt;&gt;0,VLOOKUP($H69,ELENCHI!$BG$24:$CB$123,16,FALSE)&amp;T69&amp;VLOOKUP($H69,ELENCHI!$BG$24:$CB$123,17,FALSE)&amp;W69&amp;VLOOKUP($H69,ELENCHI!$BG$24:$CB$123,18,FALSE)&amp;Z69&amp;VLOOKUP($H69,ELENCHI!$BG$24:$CB$123,19,FALSE)&amp;AC69&amp;VLOOKUP($H69,ELENCHI!$BG$24:$CB$123,20,FALSE)&amp;AF69&amp;CHAR(10),I69&amp;IF(IFERROR(FIND(CHAR(10),LEFT(B69,LUNGH),1),0)&gt;0,CHAR(10),""))</f>
        <v/>
      </c>
      <c r="AI69" s="3" t="str">
        <f>IFERROR(FIND("*",AH69)," ")</f>
        <v xml:space="preserve"> </v>
      </c>
      <c r="AJ69" s="3">
        <f>IFERROR(IF(AI69=1,FIND("*",AH69,AI69+1),999),999)</f>
        <v>999</v>
      </c>
      <c r="AK69" s="3">
        <f>IFERROR(FIND(CHAR(10),AH69,2)-1,999)</f>
        <v>999</v>
      </c>
      <c r="AL69" s="114" t="str">
        <f t="shared" ref="AL69:AL79" si="93">IFERROR(LEFT(LEFT(CLEAN(AH69),MIN(AJ69,AK69))&amp;SPAZI,LUNGH),"!!!")</f>
        <v xml:space="preserve">                                                     </v>
      </c>
      <c r="AM69" s="20" t="str">
        <f t="shared" ref="AM69:AM79" si="94">MID(AH69,MIN(AJ69+1,AK69+2,LUNGH+1),1000)</f>
        <v/>
      </c>
      <c r="AN69" s="2">
        <f>A69</f>
        <v>1</v>
      </c>
      <c r="AO69" s="462" t="str">
        <f>IF(AN69&lt;&gt;"",F69,"------  RIGA OCCUPATA DA PRESCRIZIONI TECNICHE ------")</f>
        <v xml:space="preserve">                                                     </v>
      </c>
      <c r="AP69" s="462" t="str">
        <f>AN69&amp;"       "&amp;AO69&amp;CHAR(10)</f>
        <v xml:space="preserve">1                                                            
</v>
      </c>
    </row>
    <row r="70" spans="1:42" x14ac:dyDescent="0.25">
      <c r="A70" s="2">
        <f>IF(NUMRD+(ROW()-ROW($A$68))+SUM(STRINGA!$I$8:$M$8)&lt;=NUMRD*2+NUMRDJ,ROW()-ROW($A$68),"")</f>
        <v>2</v>
      </c>
      <c r="B70" s="14" t="str">
        <f t="shared" si="81"/>
        <v/>
      </c>
      <c r="C70" s="433" t="str">
        <f t="shared" si="82"/>
        <v xml:space="preserve"> </v>
      </c>
      <c r="D70" s="3">
        <f t="shared" si="83"/>
        <v>999</v>
      </c>
      <c r="E70" s="3">
        <f t="shared" si="84"/>
        <v>999</v>
      </c>
      <c r="F70" s="19" t="str">
        <f t="shared" si="85"/>
        <v xml:space="preserve">                                                     </v>
      </c>
      <c r="G70" s="20" t="str">
        <f t="shared" si="86"/>
        <v/>
      </c>
      <c r="H70" s="3">
        <f t="shared" si="87"/>
        <v>0</v>
      </c>
      <c r="I70" s="2" t="str">
        <f t="shared" si="88"/>
        <v/>
      </c>
      <c r="J70" s="2">
        <f t="shared" si="89"/>
        <v>53</v>
      </c>
      <c r="K70" s="3" t="str">
        <f t="shared" si="90"/>
        <v>0</v>
      </c>
      <c r="L70" s="2" t="str">
        <f t="shared" si="91"/>
        <v/>
      </c>
      <c r="M70" s="2" t="str">
        <f t="shared" si="91"/>
        <v/>
      </c>
      <c r="N70" s="2" t="str">
        <f t="shared" si="91"/>
        <v/>
      </c>
      <c r="O70" s="2" t="str">
        <f t="shared" si="91"/>
        <v/>
      </c>
      <c r="P70" s="2" t="str">
        <f t="shared" si="91"/>
        <v/>
      </c>
      <c r="Q70" s="2" t="str">
        <f t="shared" si="92"/>
        <v/>
      </c>
      <c r="R70" s="105" t="str">
        <f>IF(LEFT($H70,6)="*SOSPE"," ",IF(LEFT($F70,1)="*",MID($F70,L70+1,MAX(M70-L70-1,0)),""))</f>
        <v/>
      </c>
      <c r="S70" s="105" t="str">
        <f>IF(LEFT($F70,1)="*",IF(VLOOKUP($H70,ELENCHI!$BG$24:$BO$123,5,FALSE)=LEN(R70),0,1),"")</f>
        <v/>
      </c>
      <c r="T70" s="105" t="str">
        <f>IF(S70=0,IFERROR(LEFT(R70,VLOOKUP($H70,ELENCHI!$BG$24:$CB$123,5,FALSE)-VLOOKUP($H70,ELENCHI!$BG$24:$CB$123,10,FALSE))&amp;IF(VLOOKUP($H70,ELENCHI!$BG$24:$CB$123,10,FALSE)=0,"",",")&amp;RIGHT(R70,VLOOKUP($H70,ELENCHI!$BG$24:$CB$123,10,FALSE)),""),"!!!")</f>
        <v>!!!</v>
      </c>
      <c r="U70" s="2" t="str">
        <f t="shared" ref="U70:U76" si="95">IF(LEFT($F70,1)="*",MID($F70,M70+1,MAX(N70-M70-1,0)),"")</f>
        <v/>
      </c>
      <c r="V70" s="2" t="str">
        <f>IF(LEFT($F70,1)="*",IF(VLOOKUP($H70,ELENCHI!$BG$24:$BO$123,6,FALSE)=LEN(U70),0,1),"")</f>
        <v/>
      </c>
      <c r="W70" s="2" t="str">
        <f>IF(V70=0,IFERROR(LEFT(U70,VLOOKUP($H70,ELENCHI!$BG$24:$CB$123,6,FALSE)-VLOOKUP($H70,ELENCHI!$BG$24:$CB$123,11,FALSE))&amp;IF(VLOOKUP($H70,ELENCHI!$BG$24:$CB$123,11,FALSE)=0,"",",")&amp;RIGHT(U70,VLOOKUP($H70,ELENCHI!$BG$24:$CB$123,11,FALSE)),""),"!!!")</f>
        <v>!!!</v>
      </c>
      <c r="X70" s="105" t="str">
        <f t="shared" ref="X70:X76" si="96">IF(LEFT($F70,1)="*",MID($F70,N70+1,MAX(O70-N70-1,0)),"")</f>
        <v/>
      </c>
      <c r="Y70" s="105" t="str">
        <f>IF(LEFT($F70,1)="*",IF(VLOOKUP($H70,ELENCHI!$BG$24:$BO$123,7,FALSE)=LEN(X70),0,1),"")</f>
        <v/>
      </c>
      <c r="Z70" s="105" t="str">
        <f>IF(Y70=0,IFERROR(LEFT(X70,VLOOKUP($H70,ELENCHI!$BG$24:$CB$123,7,FALSE)-VLOOKUP($H70,ELENCHI!$BG$24:$CB$123,12,FALSE))&amp;IF(VLOOKUP($H70,ELENCHI!$BG$24:$CB$123,12,FALSE)=0,"",",")&amp;RIGHT(X70,VLOOKUP($H70,ELENCHI!$BG$24:$CB$123,12,FALSE)),""),"!!!")</f>
        <v>!!!</v>
      </c>
      <c r="AA70" s="113" t="str">
        <f t="shared" ref="AA70:AA76" si="97">IF(LEFT($F70,1)="*",MID($F70,O70+1,MAX(P70-O70-1,0)),"")</f>
        <v/>
      </c>
      <c r="AB70" s="113" t="str">
        <f>IF(LEFT($F70,1)="*",IF(VLOOKUP($H70,ELENCHI!$BG$24:$BO$123,8,FALSE)=LEN(AA70),0,1),"")</f>
        <v/>
      </c>
      <c r="AC70" s="113" t="str">
        <f>IF(AB70=0,IFERROR(LEFT(AA70,VLOOKUP($H70,ELENCHI!$BG$24:$CB$123,8,FALSE)-VLOOKUP($H70,ELENCHI!$BG$24:$CB$123,13,FALSE))&amp;IF(VLOOKUP($H70,ELENCHI!$BG$24:$CB$123,13,FALSE)=0,"",",")&amp;RIGHT(AA70,VLOOKUP($H70,ELENCHI!$BG$24:$CB$123,13,FALSE)),""),"!!!")</f>
        <v>!!!</v>
      </c>
      <c r="AD70" s="105" t="str">
        <f t="shared" ref="AD70:AD76" si="98">IF(LEFT($F70,1)="*",MID($F70,P70+1,MAX(Q70-P70-1,0)),"")</f>
        <v/>
      </c>
      <c r="AE70" s="105" t="str">
        <f>IF(LEFT($F70,1)="*",IF(VLOOKUP($H70,ELENCHI!$BG$24:$BO$123,9,FALSE)=LEN(AD70),0,1),"")</f>
        <v/>
      </c>
      <c r="AF70" s="105" t="str">
        <f>IF(AE70=0,IFERROR(LEFT(AD70,VLOOKUP($H70,ELENCHI!$BG$24:$CB$123,9,FALSE)-VLOOKUP($H70,ELENCHI!$BG$24:$CB$123,14,FALSE))&amp;IF(VLOOKUP($H70,ELENCHI!$BG$24:$CB$123,14,FALSE)=0,"",",")&amp;RIGHT(AD70,VLOOKUP($H70,ELENCHI!$BG$24:$CB$123,14,FALSE)),""),"!!!")</f>
        <v>!!!</v>
      </c>
      <c r="AG70" s="117">
        <f t="shared" ref="AG70:AG76" si="99">SUM(S70,V70,Y70,AB70,AE70)</f>
        <v>0</v>
      </c>
      <c r="AH70" s="2" t="str">
        <f>AM69&amp;IF(H70&lt;&gt;0,VLOOKUP($H70,ELENCHI!$BG$24:$CB$123,16,FALSE)&amp;T70&amp;VLOOKUP($H70,ELENCHI!$BG$24:$CB$123,17,FALSE)&amp;W70&amp;VLOOKUP($H70,ELENCHI!$BG$24:$CB$123,18,FALSE)&amp;Z70&amp;VLOOKUP($H70,ELENCHI!$BG$24:$CB$123,19,FALSE)&amp;AC70&amp;VLOOKUP($H70,ELENCHI!$BG$24:$CB$123,20,FALSE)&amp;AF70&amp;CHAR(10),I70&amp;IF(IFERROR(FIND(CHAR(10),LEFT(B70,LUNGH),1),0)&gt;0,CHAR(10),""))</f>
        <v/>
      </c>
      <c r="AI70" s="3" t="str">
        <f t="shared" ref="AI70:AI79" si="100">IFERROR(FIND("*",AH70)," ")</f>
        <v xml:space="preserve"> </v>
      </c>
      <c r="AJ70" s="3">
        <f t="shared" ref="AJ70:AJ79" si="101">IFERROR(IF(AI70=1,FIND("*",AH70,AI70+1),999),999)</f>
        <v>999</v>
      </c>
      <c r="AK70" s="3">
        <f t="shared" ref="AK70:AK79" si="102">IFERROR(FIND(CHAR(10),AH70,2)-1,999)</f>
        <v>999</v>
      </c>
      <c r="AL70" s="114" t="str">
        <f t="shared" si="93"/>
        <v xml:space="preserve">                                                     </v>
      </c>
      <c r="AM70" s="20" t="str">
        <f t="shared" si="94"/>
        <v/>
      </c>
      <c r="AN70" s="2">
        <f t="shared" ref="AN70:AN76" si="103">A70</f>
        <v>2</v>
      </c>
      <c r="AO70" s="462" t="str">
        <f t="shared" ref="AO70:AO76" si="104">IF(AN70&lt;&gt;"",F70,"------  RIGA OCCUPATA DA PRESCRIZIONI TECNICHE ------")</f>
        <v xml:space="preserve">                                                     </v>
      </c>
      <c r="AP70" s="462" t="str">
        <f t="shared" ref="AP70:AP76" si="105">AN70&amp;"       "&amp;AO70&amp;CHAR(10)</f>
        <v xml:space="preserve">2                                                            
</v>
      </c>
    </row>
    <row r="71" spans="1:42" x14ac:dyDescent="0.25">
      <c r="A71" s="2">
        <f>IF(NUMRD+(ROW()-ROW($A$68))+SUM(STRINGA!$I$8:$M$8)&lt;=NUMRD*2+NUMRDJ,ROW()-ROW($A$68),"")</f>
        <v>3</v>
      </c>
      <c r="B71" s="14" t="str">
        <f t="shared" si="81"/>
        <v/>
      </c>
      <c r="C71" s="433" t="str">
        <f t="shared" si="82"/>
        <v xml:space="preserve"> </v>
      </c>
      <c r="D71" s="3">
        <f t="shared" si="83"/>
        <v>999</v>
      </c>
      <c r="E71" s="3">
        <f t="shared" si="84"/>
        <v>999</v>
      </c>
      <c r="F71" s="19" t="str">
        <f t="shared" si="85"/>
        <v xml:space="preserve">                                                     </v>
      </c>
      <c r="G71" s="20" t="str">
        <f t="shared" si="86"/>
        <v/>
      </c>
      <c r="H71" s="3">
        <f t="shared" si="87"/>
        <v>0</v>
      </c>
      <c r="I71" s="2" t="str">
        <f t="shared" si="88"/>
        <v/>
      </c>
      <c r="J71" s="2">
        <f t="shared" si="89"/>
        <v>53</v>
      </c>
      <c r="K71" s="3" t="str">
        <f t="shared" si="90"/>
        <v>0</v>
      </c>
      <c r="L71" s="2" t="str">
        <f t="shared" si="91"/>
        <v/>
      </c>
      <c r="M71" s="2" t="str">
        <f t="shared" si="91"/>
        <v/>
      </c>
      <c r="N71" s="2" t="str">
        <f t="shared" si="91"/>
        <v/>
      </c>
      <c r="O71" s="2" t="str">
        <f t="shared" si="91"/>
        <v/>
      </c>
      <c r="P71" s="2" t="str">
        <f t="shared" si="91"/>
        <v/>
      </c>
      <c r="Q71" s="2" t="str">
        <f t="shared" si="92"/>
        <v/>
      </c>
      <c r="R71" s="105" t="str">
        <f t="shared" ref="R71:R76" si="106">IF(LEFT($H71,6)="*SOSPE"," ",IF(LEFT($F71,1)="*",MID($F71,L71+1,MAX(M71-L71-1,0)),""))</f>
        <v/>
      </c>
      <c r="S71" s="105" t="str">
        <f>IF(LEFT($F71,1)="*",IF(VLOOKUP($H71,ELENCHI!$BG$24:$BO$123,5,FALSE)=LEN(R71),0,1),"")</f>
        <v/>
      </c>
      <c r="T71" s="105" t="str">
        <f>IF(S71=0,IFERROR(LEFT(R71,VLOOKUP($H71,ELENCHI!$BG$24:$CB$123,5,FALSE)-VLOOKUP($H71,ELENCHI!$BG$24:$CB$123,10,FALSE))&amp;IF(VLOOKUP($H71,ELENCHI!$BG$24:$CB$123,10,FALSE)=0,"",",")&amp;RIGHT(R71,VLOOKUP($H71,ELENCHI!$BG$24:$CB$123,10,FALSE)),""),"!!!")</f>
        <v>!!!</v>
      </c>
      <c r="U71" s="2" t="str">
        <f t="shared" si="95"/>
        <v/>
      </c>
      <c r="V71" s="2" t="str">
        <f>IF(LEFT($F71,1)="*",IF(VLOOKUP($H71,ELENCHI!$BG$24:$BO$123,6,FALSE)=LEN(U71),0,1),"")</f>
        <v/>
      </c>
      <c r="W71" s="2" t="str">
        <f>IF(V71=0,IFERROR(LEFT(U71,VLOOKUP($H71,ELENCHI!$BG$24:$CB$123,6,FALSE)-VLOOKUP($H71,ELENCHI!$BG$24:$CB$123,11,FALSE))&amp;IF(VLOOKUP($H71,ELENCHI!$BG$24:$CB$123,11,FALSE)=0,"",",")&amp;RIGHT(U71,VLOOKUP($H71,ELENCHI!$BG$24:$CB$123,11,FALSE)),""),"!!!")</f>
        <v>!!!</v>
      </c>
      <c r="X71" s="105" t="str">
        <f t="shared" si="96"/>
        <v/>
      </c>
      <c r="Y71" s="105" t="str">
        <f>IF(LEFT($F71,1)="*",IF(VLOOKUP($H71,ELENCHI!$BG$24:$BO$123,7,FALSE)=LEN(X71),0,1),"")</f>
        <v/>
      </c>
      <c r="Z71" s="105" t="str">
        <f>IF(Y71=0,IFERROR(LEFT(X71,VLOOKUP($H71,ELENCHI!$BG$24:$CB$123,7,FALSE)-VLOOKUP($H71,ELENCHI!$BG$24:$CB$123,12,FALSE))&amp;IF(VLOOKUP($H71,ELENCHI!$BG$24:$CB$123,12,FALSE)=0,"",",")&amp;RIGHT(X71,VLOOKUP($H71,ELENCHI!$BG$24:$CB$123,12,FALSE)),""),"!!!")</f>
        <v>!!!</v>
      </c>
      <c r="AA71" s="113" t="str">
        <f t="shared" si="97"/>
        <v/>
      </c>
      <c r="AB71" s="113" t="str">
        <f>IF(LEFT($F71,1)="*",IF(VLOOKUP($H71,ELENCHI!$BG$24:$BO$123,8,FALSE)=LEN(AA71),0,1),"")</f>
        <v/>
      </c>
      <c r="AC71" s="113" t="str">
        <f>IF(AB71=0,IFERROR(LEFT(AA71,VLOOKUP($H71,ELENCHI!$BG$24:$CB$123,8,FALSE)-VLOOKUP($H71,ELENCHI!$BG$24:$CB$123,13,FALSE))&amp;IF(VLOOKUP($H71,ELENCHI!$BG$24:$CB$123,13,FALSE)=0,"",",")&amp;RIGHT(AA71,VLOOKUP($H71,ELENCHI!$BG$24:$CB$123,13,FALSE)),""),"!!!")</f>
        <v>!!!</v>
      </c>
      <c r="AD71" s="105" t="str">
        <f t="shared" si="98"/>
        <v/>
      </c>
      <c r="AE71" s="105" t="str">
        <f>IF(LEFT($F71,1)="*",IF(VLOOKUP($H71,ELENCHI!$BG$24:$BO$123,9,FALSE)=LEN(AD71),0,1),"")</f>
        <v/>
      </c>
      <c r="AF71" s="105" t="str">
        <f>IF(AE71=0,IFERROR(LEFT(AD71,VLOOKUP($H71,ELENCHI!$BG$24:$CB$123,9,FALSE)-VLOOKUP($H71,ELENCHI!$BG$24:$CB$123,14,FALSE))&amp;IF(VLOOKUP($H71,ELENCHI!$BG$24:$CB$123,14,FALSE)=0,"",",")&amp;RIGHT(AD71,VLOOKUP($H71,ELENCHI!$BG$24:$CB$123,14,FALSE)),""),"!!!")</f>
        <v>!!!</v>
      </c>
      <c r="AG71" s="117">
        <f t="shared" si="99"/>
        <v>0</v>
      </c>
      <c r="AH71" s="2" t="str">
        <f>AM70&amp;IF(H71&lt;&gt;0,VLOOKUP($H71,ELENCHI!$BG$24:$CB$123,16,FALSE)&amp;T71&amp;VLOOKUP($H71,ELENCHI!$BG$24:$CB$123,17,FALSE)&amp;W71&amp;VLOOKUP($H71,ELENCHI!$BG$24:$CB$123,18,FALSE)&amp;Z71&amp;VLOOKUP($H71,ELENCHI!$BG$24:$CB$123,19,FALSE)&amp;AC71&amp;VLOOKUP($H71,ELENCHI!$BG$24:$CB$123,20,FALSE)&amp;AF71&amp;CHAR(10),I71&amp;IF(IFERROR(FIND(CHAR(10),LEFT(B71,LUNGH),1),0)&gt;0,CHAR(10),""))</f>
        <v/>
      </c>
      <c r="AI71" s="3" t="str">
        <f t="shared" si="100"/>
        <v xml:space="preserve"> </v>
      </c>
      <c r="AJ71" s="3">
        <f t="shared" si="101"/>
        <v>999</v>
      </c>
      <c r="AK71" s="3">
        <f t="shared" si="102"/>
        <v>999</v>
      </c>
      <c r="AL71" s="114" t="str">
        <f t="shared" si="93"/>
        <v xml:space="preserve">                                                     </v>
      </c>
      <c r="AM71" s="20" t="str">
        <f t="shared" si="94"/>
        <v/>
      </c>
      <c r="AN71" s="2">
        <f t="shared" si="103"/>
        <v>3</v>
      </c>
      <c r="AO71" s="462" t="str">
        <f t="shared" si="104"/>
        <v xml:space="preserve">                                                     </v>
      </c>
      <c r="AP71" s="462" t="str">
        <f t="shared" si="105"/>
        <v xml:space="preserve">3                                                            
</v>
      </c>
    </row>
    <row r="72" spans="1:42" x14ac:dyDescent="0.25">
      <c r="A72" s="2">
        <f>IF(NUMRD+(ROW()-ROW($A$68))+SUM(STRINGA!$I$8:$M$8)&lt;=NUMRD*2+NUMRDJ,ROW()-ROW($A$68),"")</f>
        <v>4</v>
      </c>
      <c r="B72" s="14" t="str">
        <f t="shared" si="81"/>
        <v/>
      </c>
      <c r="C72" s="433" t="str">
        <f t="shared" si="82"/>
        <v xml:space="preserve"> </v>
      </c>
      <c r="D72" s="3">
        <f t="shared" si="83"/>
        <v>999</v>
      </c>
      <c r="E72" s="3">
        <f t="shared" si="84"/>
        <v>999</v>
      </c>
      <c r="F72" s="19" t="str">
        <f t="shared" si="85"/>
        <v xml:space="preserve">                                                     </v>
      </c>
      <c r="G72" s="20" t="str">
        <f t="shared" si="86"/>
        <v/>
      </c>
      <c r="H72" s="3">
        <f t="shared" si="87"/>
        <v>0</v>
      </c>
      <c r="I72" s="2" t="str">
        <f t="shared" si="88"/>
        <v/>
      </c>
      <c r="J72" s="2">
        <f t="shared" si="89"/>
        <v>53</v>
      </c>
      <c r="K72" s="3" t="str">
        <f t="shared" si="90"/>
        <v>0</v>
      </c>
      <c r="L72" s="2" t="str">
        <f t="shared" si="91"/>
        <v/>
      </c>
      <c r="M72" s="2" t="str">
        <f t="shared" si="91"/>
        <v/>
      </c>
      <c r="N72" s="2" t="str">
        <f t="shared" si="91"/>
        <v/>
      </c>
      <c r="O72" s="2" t="str">
        <f t="shared" si="91"/>
        <v/>
      </c>
      <c r="P72" s="2" t="str">
        <f t="shared" si="91"/>
        <v/>
      </c>
      <c r="Q72" s="2" t="str">
        <f t="shared" si="92"/>
        <v/>
      </c>
      <c r="R72" s="105" t="str">
        <f t="shared" si="106"/>
        <v/>
      </c>
      <c r="S72" s="105" t="str">
        <f>IF(LEFT($F72,1)="*",IF(VLOOKUP($H72,ELENCHI!$BG$24:$BO$123,5,FALSE)=LEN(R72),0,1),"")</f>
        <v/>
      </c>
      <c r="T72" s="105" t="str">
        <f>IF(S72=0,IFERROR(LEFT(R72,VLOOKUP($H72,ELENCHI!$BG$24:$CB$123,5,FALSE)-VLOOKUP($H72,ELENCHI!$BG$24:$CB$123,10,FALSE))&amp;IF(VLOOKUP($H72,ELENCHI!$BG$24:$CB$123,10,FALSE)=0,"",",")&amp;RIGHT(R72,VLOOKUP($H72,ELENCHI!$BG$24:$CB$123,10,FALSE)),""),"!!!")</f>
        <v>!!!</v>
      </c>
      <c r="U72" s="2" t="str">
        <f t="shared" si="95"/>
        <v/>
      </c>
      <c r="V72" s="2" t="str">
        <f>IF(LEFT($F72,1)="*",IF(VLOOKUP($H72,ELENCHI!$BG$24:$BO$123,6,FALSE)=LEN(U72),0,1),"")</f>
        <v/>
      </c>
      <c r="W72" s="2" t="str">
        <f>IF(V72=0,IFERROR(LEFT(U72,VLOOKUP($H72,ELENCHI!$BG$24:$CB$123,6,FALSE)-VLOOKUP($H72,ELENCHI!$BG$24:$CB$123,11,FALSE))&amp;IF(VLOOKUP($H72,ELENCHI!$BG$24:$CB$123,11,FALSE)=0,"",",")&amp;RIGHT(U72,VLOOKUP($H72,ELENCHI!$BG$24:$CB$123,11,FALSE)),""),"!!!")</f>
        <v>!!!</v>
      </c>
      <c r="X72" s="105" t="str">
        <f t="shared" si="96"/>
        <v/>
      </c>
      <c r="Y72" s="105" t="str">
        <f>IF(LEFT($F72,1)="*",IF(VLOOKUP($H72,ELENCHI!$BG$24:$BO$123,7,FALSE)=LEN(X72),0,1),"")</f>
        <v/>
      </c>
      <c r="Z72" s="105" t="str">
        <f>IF(Y72=0,IFERROR(LEFT(X72,VLOOKUP($H72,ELENCHI!$BG$24:$CB$123,7,FALSE)-VLOOKUP($H72,ELENCHI!$BG$24:$CB$123,12,FALSE))&amp;IF(VLOOKUP($H72,ELENCHI!$BG$24:$CB$123,12,FALSE)=0,"",",")&amp;RIGHT(X72,VLOOKUP($H72,ELENCHI!$BG$24:$CB$123,12,FALSE)),""),"!!!")</f>
        <v>!!!</v>
      </c>
      <c r="AA72" s="113" t="str">
        <f t="shared" si="97"/>
        <v/>
      </c>
      <c r="AB72" s="113" t="str">
        <f>IF(LEFT($F72,1)="*",IF(VLOOKUP($H72,ELENCHI!$BG$24:$BO$123,8,FALSE)=LEN(AA72),0,1),"")</f>
        <v/>
      </c>
      <c r="AC72" s="113" t="str">
        <f>IF(AB72=0,IFERROR(LEFT(AA72,VLOOKUP($H72,ELENCHI!$BG$24:$CB$123,8,FALSE)-VLOOKUP($H72,ELENCHI!$BG$24:$CB$123,13,FALSE))&amp;IF(VLOOKUP($H72,ELENCHI!$BG$24:$CB$123,13,FALSE)=0,"",",")&amp;RIGHT(AA72,VLOOKUP($H72,ELENCHI!$BG$24:$CB$123,13,FALSE)),""),"!!!")</f>
        <v>!!!</v>
      </c>
      <c r="AD72" s="105" t="str">
        <f t="shared" si="98"/>
        <v/>
      </c>
      <c r="AE72" s="105" t="str">
        <f>IF(LEFT($F72,1)="*",IF(VLOOKUP($H72,ELENCHI!$BG$24:$BO$123,9,FALSE)=LEN(AD72),0,1),"")</f>
        <v/>
      </c>
      <c r="AF72" s="105" t="str">
        <f>IF(AE72=0,IFERROR(LEFT(AD72,VLOOKUP($H72,ELENCHI!$BG$24:$CB$123,9,FALSE)-VLOOKUP($H72,ELENCHI!$BG$24:$CB$123,14,FALSE))&amp;IF(VLOOKUP($H72,ELENCHI!$BG$24:$CB$123,14,FALSE)=0,"",",")&amp;RIGHT(AD72,VLOOKUP($H72,ELENCHI!$BG$24:$CB$123,14,FALSE)),""),"!!!")</f>
        <v>!!!</v>
      </c>
      <c r="AG72" s="117">
        <f t="shared" si="99"/>
        <v>0</v>
      </c>
      <c r="AH72" s="2" t="str">
        <f>AM71&amp;IF(H72&lt;&gt;0,VLOOKUP($H72,ELENCHI!$BG$24:$CB$123,16,FALSE)&amp;T72&amp;VLOOKUP($H72,ELENCHI!$BG$24:$CB$123,17,FALSE)&amp;W72&amp;VLOOKUP($H72,ELENCHI!$BG$24:$CB$123,18,FALSE)&amp;Z72&amp;VLOOKUP($H72,ELENCHI!$BG$24:$CB$123,19,FALSE)&amp;AC72&amp;VLOOKUP($H72,ELENCHI!$BG$24:$CB$123,20,FALSE)&amp;AF72&amp;CHAR(10),I72&amp;IF(IFERROR(FIND(CHAR(10),LEFT(B72,LUNGH),1),0)&gt;0,CHAR(10),""))</f>
        <v/>
      </c>
      <c r="AI72" s="3" t="str">
        <f t="shared" si="100"/>
        <v xml:space="preserve"> </v>
      </c>
      <c r="AJ72" s="3">
        <f t="shared" si="101"/>
        <v>999</v>
      </c>
      <c r="AK72" s="3">
        <f t="shared" si="102"/>
        <v>999</v>
      </c>
      <c r="AL72" s="114" t="str">
        <f t="shared" si="93"/>
        <v xml:space="preserve">                                                     </v>
      </c>
      <c r="AM72" s="20" t="str">
        <f t="shared" si="94"/>
        <v/>
      </c>
      <c r="AN72" s="2">
        <f t="shared" si="103"/>
        <v>4</v>
      </c>
      <c r="AO72" s="462" t="str">
        <f t="shared" si="104"/>
        <v xml:space="preserve">                                                     </v>
      </c>
      <c r="AP72" s="462" t="str">
        <f t="shared" si="105"/>
        <v xml:space="preserve">4                                                            
</v>
      </c>
    </row>
    <row r="73" spans="1:42" x14ac:dyDescent="0.25">
      <c r="A73" s="2">
        <f>IF(NUMRD+(ROW()-ROW($A$68))+SUM(STRINGA!$I$8:$M$8)&lt;=NUMRD*2+NUMRDJ,ROW()-ROW($A$68),"")</f>
        <v>5</v>
      </c>
      <c r="B73" s="14" t="str">
        <f t="shared" si="81"/>
        <v/>
      </c>
      <c r="C73" s="433" t="str">
        <f t="shared" si="82"/>
        <v xml:space="preserve"> </v>
      </c>
      <c r="D73" s="3">
        <f t="shared" si="83"/>
        <v>999</v>
      </c>
      <c r="E73" s="3">
        <f t="shared" si="84"/>
        <v>999</v>
      </c>
      <c r="F73" s="19" t="str">
        <f t="shared" si="85"/>
        <v xml:space="preserve">                                                     </v>
      </c>
      <c r="G73" s="20" t="str">
        <f t="shared" si="86"/>
        <v/>
      </c>
      <c r="H73" s="3">
        <f t="shared" si="87"/>
        <v>0</v>
      </c>
      <c r="I73" s="2" t="str">
        <f t="shared" si="88"/>
        <v/>
      </c>
      <c r="J73" s="2">
        <f t="shared" si="89"/>
        <v>53</v>
      </c>
      <c r="K73" s="3" t="str">
        <f t="shared" si="90"/>
        <v>0</v>
      </c>
      <c r="L73" s="2" t="str">
        <f t="shared" si="91"/>
        <v/>
      </c>
      <c r="M73" s="2" t="str">
        <f t="shared" si="91"/>
        <v/>
      </c>
      <c r="N73" s="2" t="str">
        <f t="shared" si="91"/>
        <v/>
      </c>
      <c r="O73" s="2" t="str">
        <f t="shared" si="91"/>
        <v/>
      </c>
      <c r="P73" s="2" t="str">
        <f t="shared" si="91"/>
        <v/>
      </c>
      <c r="Q73" s="2" t="str">
        <f t="shared" si="92"/>
        <v/>
      </c>
      <c r="R73" s="105" t="str">
        <f t="shared" si="106"/>
        <v/>
      </c>
      <c r="S73" s="105" t="str">
        <f>IF(LEFT($F73,1)="*",IF(VLOOKUP($H73,ELENCHI!$BG$24:$BO$123,5,FALSE)=LEN(R73),0,1),"")</f>
        <v/>
      </c>
      <c r="T73" s="105" t="str">
        <f>IF(S73=0,IFERROR(LEFT(R73,VLOOKUP($H73,ELENCHI!$BG$24:$CB$123,5,FALSE)-VLOOKUP($H73,ELENCHI!$BG$24:$CB$123,10,FALSE))&amp;IF(VLOOKUP($H73,ELENCHI!$BG$24:$CB$123,10,FALSE)=0,"",",")&amp;RIGHT(R73,VLOOKUP($H73,ELENCHI!$BG$24:$CB$123,10,FALSE)),""),"!!!")</f>
        <v>!!!</v>
      </c>
      <c r="U73" s="2" t="str">
        <f t="shared" si="95"/>
        <v/>
      </c>
      <c r="V73" s="2" t="str">
        <f>IF(LEFT($F73,1)="*",IF(VLOOKUP($H73,ELENCHI!$BG$24:$BO$123,6,FALSE)=LEN(U73),0,1),"")</f>
        <v/>
      </c>
      <c r="W73" s="2" t="str">
        <f>IF(V73=0,IFERROR(LEFT(U73,VLOOKUP($H73,ELENCHI!$BG$24:$CB$123,6,FALSE)-VLOOKUP($H73,ELENCHI!$BG$24:$CB$123,11,FALSE))&amp;IF(VLOOKUP($H73,ELENCHI!$BG$24:$CB$123,11,FALSE)=0,"",",")&amp;RIGHT(U73,VLOOKUP($H73,ELENCHI!$BG$24:$CB$123,11,FALSE)),""),"!!!")</f>
        <v>!!!</v>
      </c>
      <c r="X73" s="105" t="str">
        <f t="shared" si="96"/>
        <v/>
      </c>
      <c r="Y73" s="105" t="str">
        <f>IF(LEFT($F73,1)="*",IF(VLOOKUP($H73,ELENCHI!$BG$24:$BO$123,7,FALSE)=LEN(X73),0,1),"")</f>
        <v/>
      </c>
      <c r="Z73" s="105" t="str">
        <f>IF(Y73=0,IFERROR(LEFT(X73,VLOOKUP($H73,ELENCHI!$BG$24:$CB$123,7,FALSE)-VLOOKUP($H73,ELENCHI!$BG$24:$CB$123,12,FALSE))&amp;IF(VLOOKUP($H73,ELENCHI!$BG$24:$CB$123,12,FALSE)=0,"",",")&amp;RIGHT(X73,VLOOKUP($H73,ELENCHI!$BG$24:$CB$123,12,FALSE)),""),"!!!")</f>
        <v>!!!</v>
      </c>
      <c r="AA73" s="113" t="str">
        <f t="shared" si="97"/>
        <v/>
      </c>
      <c r="AB73" s="113" t="str">
        <f>IF(LEFT($F73,1)="*",IF(VLOOKUP($H73,ELENCHI!$BG$24:$BO$123,8,FALSE)=LEN(AA73),0,1),"")</f>
        <v/>
      </c>
      <c r="AC73" s="113" t="str">
        <f>IF(AB73=0,IFERROR(LEFT(AA73,VLOOKUP($H73,ELENCHI!$BG$24:$CB$123,8,FALSE)-VLOOKUP($H73,ELENCHI!$BG$24:$CB$123,13,FALSE))&amp;IF(VLOOKUP($H73,ELENCHI!$BG$24:$CB$123,13,FALSE)=0,"",",")&amp;RIGHT(AA73,VLOOKUP($H73,ELENCHI!$BG$24:$CB$123,13,FALSE)),""),"!!!")</f>
        <v>!!!</v>
      </c>
      <c r="AD73" s="105" t="str">
        <f t="shared" si="98"/>
        <v/>
      </c>
      <c r="AE73" s="105" t="str">
        <f>IF(LEFT($F73,1)="*",IF(VLOOKUP($H73,ELENCHI!$BG$24:$BO$123,9,FALSE)=LEN(AD73),0,1),"")</f>
        <v/>
      </c>
      <c r="AF73" s="105" t="str">
        <f>IF(AE73=0,IFERROR(LEFT(AD73,VLOOKUP($H73,ELENCHI!$BG$24:$CB$123,9,FALSE)-VLOOKUP($H73,ELENCHI!$BG$24:$CB$123,14,FALSE))&amp;IF(VLOOKUP($H73,ELENCHI!$BG$24:$CB$123,14,FALSE)=0,"",",")&amp;RIGHT(AD73,VLOOKUP($H73,ELENCHI!$BG$24:$CB$123,14,FALSE)),""),"!!!")</f>
        <v>!!!</v>
      </c>
      <c r="AG73" s="117">
        <f t="shared" si="99"/>
        <v>0</v>
      </c>
      <c r="AH73" s="2" t="str">
        <f>AM72&amp;IF(H73&lt;&gt;0,VLOOKUP($H73,ELENCHI!$BG$24:$CB$123,16,FALSE)&amp;T73&amp;VLOOKUP($H73,ELENCHI!$BG$24:$CB$123,17,FALSE)&amp;W73&amp;VLOOKUP($H73,ELENCHI!$BG$24:$CB$123,18,FALSE)&amp;Z73&amp;VLOOKUP($H73,ELENCHI!$BG$24:$CB$123,19,FALSE)&amp;AC73&amp;VLOOKUP($H73,ELENCHI!$BG$24:$CB$123,20,FALSE)&amp;AF73&amp;CHAR(10),I73&amp;IF(IFERROR(FIND(CHAR(10),LEFT(B73,LUNGH),1),0)&gt;0,CHAR(10),""))</f>
        <v/>
      </c>
      <c r="AI73" s="3" t="str">
        <f t="shared" si="100"/>
        <v xml:space="preserve"> </v>
      </c>
      <c r="AJ73" s="3">
        <f t="shared" si="101"/>
        <v>999</v>
      </c>
      <c r="AK73" s="3">
        <f t="shared" si="102"/>
        <v>999</v>
      </c>
      <c r="AL73" s="114" t="str">
        <f t="shared" si="93"/>
        <v xml:space="preserve">                                                     </v>
      </c>
      <c r="AM73" s="20" t="str">
        <f t="shared" si="94"/>
        <v/>
      </c>
      <c r="AN73" s="2">
        <f t="shared" si="103"/>
        <v>5</v>
      </c>
      <c r="AO73" s="462" t="str">
        <f t="shared" si="104"/>
        <v xml:space="preserve">                                                     </v>
      </c>
      <c r="AP73" s="462" t="str">
        <f t="shared" si="105"/>
        <v xml:space="preserve">5                                                            
</v>
      </c>
    </row>
    <row r="74" spans="1:42" x14ac:dyDescent="0.25">
      <c r="A74" s="2">
        <f>IF(NUMRD+(ROW()-ROW($A$68))+SUM(STRINGA!$I$8:$M$8)&lt;=NUMRD*2+NUMRDJ,ROW()-ROW($A$68),"")</f>
        <v>6</v>
      </c>
      <c r="B74" s="14" t="str">
        <f t="shared" si="81"/>
        <v/>
      </c>
      <c r="C74" s="433" t="str">
        <f t="shared" si="82"/>
        <v xml:space="preserve"> </v>
      </c>
      <c r="D74" s="3">
        <f t="shared" si="83"/>
        <v>999</v>
      </c>
      <c r="E74" s="3">
        <f t="shared" si="84"/>
        <v>999</v>
      </c>
      <c r="F74" s="19" t="str">
        <f t="shared" si="85"/>
        <v xml:space="preserve">                                                     </v>
      </c>
      <c r="G74" s="20" t="str">
        <f t="shared" si="86"/>
        <v/>
      </c>
      <c r="H74" s="3">
        <f t="shared" si="87"/>
        <v>0</v>
      </c>
      <c r="I74" s="2" t="str">
        <f t="shared" si="88"/>
        <v/>
      </c>
      <c r="J74" s="2">
        <f t="shared" si="89"/>
        <v>53</v>
      </c>
      <c r="K74" s="3" t="str">
        <f t="shared" si="90"/>
        <v>0</v>
      </c>
      <c r="L74" s="2" t="str">
        <f t="shared" si="91"/>
        <v/>
      </c>
      <c r="M74" s="2" t="str">
        <f t="shared" si="91"/>
        <v/>
      </c>
      <c r="N74" s="2" t="str">
        <f t="shared" si="91"/>
        <v/>
      </c>
      <c r="O74" s="2" t="str">
        <f t="shared" si="91"/>
        <v/>
      </c>
      <c r="P74" s="2" t="str">
        <f t="shared" si="91"/>
        <v/>
      </c>
      <c r="Q74" s="2" t="str">
        <f t="shared" si="92"/>
        <v/>
      </c>
      <c r="R74" s="105" t="str">
        <f t="shared" si="106"/>
        <v/>
      </c>
      <c r="S74" s="105" t="str">
        <f>IF(LEFT($F74,1)="*",IF(VLOOKUP($H74,ELENCHI!$BG$24:$BO$123,5,FALSE)=LEN(R74),0,1),"")</f>
        <v/>
      </c>
      <c r="T74" s="105" t="str">
        <f>IF(S74=0,IFERROR(LEFT(R74,VLOOKUP($H74,ELENCHI!$BG$24:$CB$123,5,FALSE)-VLOOKUP($H74,ELENCHI!$BG$24:$CB$123,10,FALSE))&amp;IF(VLOOKUP($H74,ELENCHI!$BG$24:$CB$123,10,FALSE)=0,"",",")&amp;RIGHT(R74,VLOOKUP($H74,ELENCHI!$BG$24:$CB$123,10,FALSE)),""),"!!!")</f>
        <v>!!!</v>
      </c>
      <c r="U74" s="2" t="str">
        <f t="shared" si="95"/>
        <v/>
      </c>
      <c r="V74" s="2" t="str">
        <f>IF(LEFT($F74,1)="*",IF(VLOOKUP($H74,ELENCHI!$BG$24:$BO$123,6,FALSE)=LEN(U74),0,1),"")</f>
        <v/>
      </c>
      <c r="W74" s="2" t="str">
        <f>IF(V74=0,IFERROR(LEFT(U74,VLOOKUP($H74,ELENCHI!$BG$24:$CB$123,6,FALSE)-VLOOKUP($H74,ELENCHI!$BG$24:$CB$123,11,FALSE))&amp;IF(VLOOKUP($H74,ELENCHI!$BG$24:$CB$123,11,FALSE)=0,"",",")&amp;RIGHT(U74,VLOOKUP($H74,ELENCHI!$BG$24:$CB$123,11,FALSE)),""),"!!!")</f>
        <v>!!!</v>
      </c>
      <c r="X74" s="105" t="str">
        <f t="shared" si="96"/>
        <v/>
      </c>
      <c r="Y74" s="105" t="str">
        <f>IF(LEFT($F74,1)="*",IF(VLOOKUP($H74,ELENCHI!$BG$24:$BO$123,7,FALSE)=LEN(X74),0,1),"")</f>
        <v/>
      </c>
      <c r="Z74" s="105" t="str">
        <f>IF(Y74=0,IFERROR(LEFT(X74,VLOOKUP($H74,ELENCHI!$BG$24:$CB$123,7,FALSE)-VLOOKUP($H74,ELENCHI!$BG$24:$CB$123,12,FALSE))&amp;IF(VLOOKUP($H74,ELENCHI!$BG$24:$CB$123,12,FALSE)=0,"",",")&amp;RIGHT(X74,VLOOKUP($H74,ELENCHI!$BG$24:$CB$123,12,FALSE)),""),"!!!")</f>
        <v>!!!</v>
      </c>
      <c r="AA74" s="113" t="str">
        <f t="shared" si="97"/>
        <v/>
      </c>
      <c r="AB74" s="113" t="str">
        <f>IF(LEFT($F74,1)="*",IF(VLOOKUP($H74,ELENCHI!$BG$24:$BO$123,8,FALSE)=LEN(AA74),0,1),"")</f>
        <v/>
      </c>
      <c r="AC74" s="113" t="str">
        <f>IF(AB74=0,IFERROR(LEFT(AA74,VLOOKUP($H74,ELENCHI!$BG$24:$CB$123,8,FALSE)-VLOOKUP($H74,ELENCHI!$BG$24:$CB$123,13,FALSE))&amp;IF(VLOOKUP($H74,ELENCHI!$BG$24:$CB$123,13,FALSE)=0,"",",")&amp;RIGHT(AA74,VLOOKUP($H74,ELENCHI!$BG$24:$CB$123,13,FALSE)),""),"!!!")</f>
        <v>!!!</v>
      </c>
      <c r="AD74" s="105" t="str">
        <f t="shared" si="98"/>
        <v/>
      </c>
      <c r="AE74" s="105" t="str">
        <f>IF(LEFT($F74,1)="*",IF(VLOOKUP($H74,ELENCHI!$BG$24:$BO$123,9,FALSE)=LEN(AD74),0,1),"")</f>
        <v/>
      </c>
      <c r="AF74" s="105" t="str">
        <f>IF(AE74=0,IFERROR(LEFT(AD74,VLOOKUP($H74,ELENCHI!$BG$24:$CB$123,9,FALSE)-VLOOKUP($H74,ELENCHI!$BG$24:$CB$123,14,FALSE))&amp;IF(VLOOKUP($H74,ELENCHI!$BG$24:$CB$123,14,FALSE)=0,"",",")&amp;RIGHT(AD74,VLOOKUP($H74,ELENCHI!$BG$24:$CB$123,14,FALSE)),""),"!!!")</f>
        <v>!!!</v>
      </c>
      <c r="AG74" s="117">
        <f t="shared" si="99"/>
        <v>0</v>
      </c>
      <c r="AH74" s="2" t="str">
        <f>AM73&amp;IF(H74&lt;&gt;0,VLOOKUP($H74,ELENCHI!$BG$24:$CB$123,16,FALSE)&amp;T74&amp;VLOOKUP($H74,ELENCHI!$BG$24:$CB$123,17,FALSE)&amp;W74&amp;VLOOKUP($H74,ELENCHI!$BG$24:$CB$123,18,FALSE)&amp;Z74&amp;VLOOKUP($H74,ELENCHI!$BG$24:$CB$123,19,FALSE)&amp;AC74&amp;VLOOKUP($H74,ELENCHI!$BG$24:$CB$123,20,FALSE)&amp;AF74&amp;CHAR(10),I74&amp;IF(IFERROR(FIND(CHAR(10),LEFT(B74,LUNGH),1),0)&gt;0,CHAR(10),""))</f>
        <v/>
      </c>
      <c r="AI74" s="3" t="str">
        <f t="shared" si="100"/>
        <v xml:space="preserve"> </v>
      </c>
      <c r="AJ74" s="3">
        <f t="shared" si="101"/>
        <v>999</v>
      </c>
      <c r="AK74" s="3">
        <f t="shared" si="102"/>
        <v>999</v>
      </c>
      <c r="AL74" s="114" t="str">
        <f t="shared" si="93"/>
        <v xml:space="preserve">                                                     </v>
      </c>
      <c r="AM74" s="20" t="str">
        <f t="shared" si="94"/>
        <v/>
      </c>
      <c r="AN74" s="2">
        <f t="shared" si="103"/>
        <v>6</v>
      </c>
      <c r="AO74" s="462" t="str">
        <f t="shared" si="104"/>
        <v xml:space="preserve">                                                     </v>
      </c>
      <c r="AP74" s="462" t="str">
        <f t="shared" si="105"/>
        <v xml:space="preserve">6                                                            
</v>
      </c>
    </row>
    <row r="75" spans="1:42" x14ac:dyDescent="0.25">
      <c r="A75" s="2">
        <f>IF(NUMRD+(ROW()-ROW($A$68))+SUM(STRINGA!$I$8:$M$8)&lt;=NUMRD*2+NUMRDJ,ROW()-ROW($A$68),"")</f>
        <v>7</v>
      </c>
      <c r="B75" s="14" t="str">
        <f t="shared" si="81"/>
        <v/>
      </c>
      <c r="C75" s="433" t="str">
        <f t="shared" si="82"/>
        <v xml:space="preserve"> </v>
      </c>
      <c r="D75" s="3">
        <f t="shared" si="83"/>
        <v>999</v>
      </c>
      <c r="E75" s="3">
        <f t="shared" si="84"/>
        <v>999</v>
      </c>
      <c r="F75" s="19" t="str">
        <f t="shared" si="85"/>
        <v xml:space="preserve">                                                     </v>
      </c>
      <c r="G75" s="20" t="str">
        <f t="shared" si="86"/>
        <v/>
      </c>
      <c r="H75" s="3">
        <f t="shared" si="87"/>
        <v>0</v>
      </c>
      <c r="I75" s="2" t="str">
        <f t="shared" si="88"/>
        <v/>
      </c>
      <c r="J75" s="2">
        <f t="shared" si="89"/>
        <v>53</v>
      </c>
      <c r="K75" s="3" t="str">
        <f t="shared" si="90"/>
        <v>0</v>
      </c>
      <c r="L75" s="2" t="str">
        <f t="shared" si="91"/>
        <v/>
      </c>
      <c r="M75" s="2" t="str">
        <f t="shared" si="91"/>
        <v/>
      </c>
      <c r="N75" s="2" t="str">
        <f t="shared" si="91"/>
        <v/>
      </c>
      <c r="O75" s="2" t="str">
        <f t="shared" si="91"/>
        <v/>
      </c>
      <c r="P75" s="2" t="str">
        <f t="shared" si="91"/>
        <v/>
      </c>
      <c r="Q75" s="2" t="str">
        <f t="shared" si="92"/>
        <v/>
      </c>
      <c r="R75" s="105" t="str">
        <f t="shared" si="106"/>
        <v/>
      </c>
      <c r="S75" s="105" t="str">
        <f>IF(LEFT($F75,1)="*",IF(VLOOKUP($H75,ELENCHI!$BG$24:$BO$123,5,FALSE)=LEN(R75),0,1),"")</f>
        <v/>
      </c>
      <c r="T75" s="105" t="str">
        <f>IF(S75=0,IFERROR(LEFT(R75,VLOOKUP($H75,ELENCHI!$BG$24:$CB$123,5,FALSE)-VLOOKUP($H75,ELENCHI!$BG$24:$CB$123,10,FALSE))&amp;IF(VLOOKUP($H75,ELENCHI!$BG$24:$CB$123,10,FALSE)=0,"",",")&amp;RIGHT(R75,VLOOKUP($H75,ELENCHI!$BG$24:$CB$123,10,FALSE)),""),"!!!")</f>
        <v>!!!</v>
      </c>
      <c r="U75" s="2" t="str">
        <f t="shared" si="95"/>
        <v/>
      </c>
      <c r="V75" s="2" t="str">
        <f>IF(LEFT($F75,1)="*",IF(VLOOKUP($H75,ELENCHI!$BG$24:$BO$123,6,FALSE)=LEN(U75),0,1),"")</f>
        <v/>
      </c>
      <c r="W75" s="2" t="str">
        <f>IF(V75=0,IFERROR(LEFT(U75,VLOOKUP($H75,ELENCHI!$BG$24:$CB$123,6,FALSE)-VLOOKUP($H75,ELENCHI!$BG$24:$CB$123,11,FALSE))&amp;IF(VLOOKUP($H75,ELENCHI!$BG$24:$CB$123,11,FALSE)=0,"",",")&amp;RIGHT(U75,VLOOKUP($H75,ELENCHI!$BG$24:$CB$123,11,FALSE)),""),"!!!")</f>
        <v>!!!</v>
      </c>
      <c r="X75" s="105" t="str">
        <f t="shared" si="96"/>
        <v/>
      </c>
      <c r="Y75" s="105" t="str">
        <f>IF(LEFT($F75,1)="*",IF(VLOOKUP($H75,ELENCHI!$BG$24:$BO$123,7,FALSE)=LEN(X75),0,1),"")</f>
        <v/>
      </c>
      <c r="Z75" s="105" t="str">
        <f>IF(Y75=0,IFERROR(LEFT(X75,VLOOKUP($H75,ELENCHI!$BG$24:$CB$123,7,FALSE)-VLOOKUP($H75,ELENCHI!$BG$24:$CB$123,12,FALSE))&amp;IF(VLOOKUP($H75,ELENCHI!$BG$24:$CB$123,12,FALSE)=0,"",",")&amp;RIGHT(X75,VLOOKUP($H75,ELENCHI!$BG$24:$CB$123,12,FALSE)),""),"!!!")</f>
        <v>!!!</v>
      </c>
      <c r="AA75" s="113" t="str">
        <f t="shared" si="97"/>
        <v/>
      </c>
      <c r="AB75" s="113" t="str">
        <f>IF(LEFT($F75,1)="*",IF(VLOOKUP($H75,ELENCHI!$BG$24:$BO$123,8,FALSE)=LEN(AA75),0,1),"")</f>
        <v/>
      </c>
      <c r="AC75" s="113" t="str">
        <f>IF(AB75=0,IFERROR(LEFT(AA75,VLOOKUP($H75,ELENCHI!$BG$24:$CB$123,8,FALSE)-VLOOKUP($H75,ELENCHI!$BG$24:$CB$123,13,FALSE))&amp;IF(VLOOKUP($H75,ELENCHI!$BG$24:$CB$123,13,FALSE)=0,"",",")&amp;RIGHT(AA75,VLOOKUP($H75,ELENCHI!$BG$24:$CB$123,13,FALSE)),""),"!!!")</f>
        <v>!!!</v>
      </c>
      <c r="AD75" s="105" t="str">
        <f t="shared" si="98"/>
        <v/>
      </c>
      <c r="AE75" s="105" t="str">
        <f>IF(LEFT($F75,1)="*",IF(VLOOKUP($H75,ELENCHI!$BG$24:$BO$123,9,FALSE)=LEN(AD75),0,1),"")</f>
        <v/>
      </c>
      <c r="AF75" s="105" t="str">
        <f>IF(AE75=0,IFERROR(LEFT(AD75,VLOOKUP($H75,ELENCHI!$BG$24:$CB$123,9,FALSE)-VLOOKUP($H75,ELENCHI!$BG$24:$CB$123,14,FALSE))&amp;IF(VLOOKUP($H75,ELENCHI!$BG$24:$CB$123,14,FALSE)=0,"",",")&amp;RIGHT(AD75,VLOOKUP($H75,ELENCHI!$BG$24:$CB$123,14,FALSE)),""),"!!!")</f>
        <v>!!!</v>
      </c>
      <c r="AG75" s="117">
        <f t="shared" si="99"/>
        <v>0</v>
      </c>
      <c r="AH75" s="2" t="str">
        <f>AM74&amp;IF(H75&lt;&gt;0,VLOOKUP($H75,ELENCHI!$BG$24:$CB$123,16,FALSE)&amp;T75&amp;VLOOKUP($H75,ELENCHI!$BG$24:$CB$123,17,FALSE)&amp;W75&amp;VLOOKUP($H75,ELENCHI!$BG$24:$CB$123,18,FALSE)&amp;Z75&amp;VLOOKUP($H75,ELENCHI!$BG$24:$CB$123,19,FALSE)&amp;AC75&amp;VLOOKUP($H75,ELENCHI!$BG$24:$CB$123,20,FALSE)&amp;AF75&amp;CHAR(10),I75&amp;IF(IFERROR(FIND(CHAR(10),LEFT(B75,LUNGH),1),0)&gt;0,CHAR(10),""))</f>
        <v/>
      </c>
      <c r="AI75" s="3" t="str">
        <f t="shared" si="100"/>
        <v xml:space="preserve"> </v>
      </c>
      <c r="AJ75" s="3">
        <f t="shared" si="101"/>
        <v>999</v>
      </c>
      <c r="AK75" s="3">
        <f t="shared" si="102"/>
        <v>999</v>
      </c>
      <c r="AL75" s="114" t="str">
        <f t="shared" si="93"/>
        <v xml:space="preserve">                                                     </v>
      </c>
      <c r="AM75" s="20" t="str">
        <f t="shared" si="94"/>
        <v/>
      </c>
      <c r="AN75" s="2">
        <f t="shared" si="103"/>
        <v>7</v>
      </c>
      <c r="AO75" s="462" t="str">
        <f t="shared" si="104"/>
        <v xml:space="preserve">                                                     </v>
      </c>
      <c r="AP75" s="462" t="str">
        <f t="shared" si="105"/>
        <v xml:space="preserve">7                                                            
</v>
      </c>
    </row>
    <row r="76" spans="1:42" x14ac:dyDescent="0.25">
      <c r="A76" s="2">
        <f>IF(NUMRD+(ROW()-ROW($A$68))+SUM(STRINGA!$I$8:$M$8)&lt;=NUMRD*2+NUMRDJ,ROW()-ROW($A$68),"")</f>
        <v>8</v>
      </c>
      <c r="B76" s="14" t="str">
        <f t="shared" si="81"/>
        <v/>
      </c>
      <c r="C76" s="433" t="str">
        <f t="shared" si="82"/>
        <v xml:space="preserve"> </v>
      </c>
      <c r="D76" s="3">
        <f t="shared" si="83"/>
        <v>999</v>
      </c>
      <c r="E76" s="3">
        <f t="shared" si="84"/>
        <v>999</v>
      </c>
      <c r="F76" s="19" t="str">
        <f t="shared" si="85"/>
        <v xml:space="preserve">                                                     </v>
      </c>
      <c r="G76" s="20" t="str">
        <f t="shared" si="86"/>
        <v/>
      </c>
      <c r="H76" s="3">
        <f t="shared" si="87"/>
        <v>0</v>
      </c>
      <c r="I76" s="2" t="str">
        <f t="shared" si="88"/>
        <v/>
      </c>
      <c r="J76" s="2">
        <f t="shared" si="89"/>
        <v>53</v>
      </c>
      <c r="K76" s="3" t="str">
        <f t="shared" si="90"/>
        <v>0</v>
      </c>
      <c r="L76" s="2" t="str">
        <f t="shared" si="91"/>
        <v/>
      </c>
      <c r="M76" s="2" t="str">
        <f t="shared" si="91"/>
        <v/>
      </c>
      <c r="N76" s="2" t="str">
        <f t="shared" si="91"/>
        <v/>
      </c>
      <c r="O76" s="2" t="str">
        <f t="shared" si="91"/>
        <v/>
      </c>
      <c r="P76" s="2" t="str">
        <f t="shared" si="91"/>
        <v/>
      </c>
      <c r="Q76" s="2" t="str">
        <f t="shared" si="92"/>
        <v/>
      </c>
      <c r="R76" s="105" t="str">
        <f t="shared" si="106"/>
        <v/>
      </c>
      <c r="S76" s="105" t="str">
        <f>IF(LEFT($F76,1)="*",IF(VLOOKUP($H76,ELENCHI!$BG$24:$BO$123,5,FALSE)=LEN(R76),0,1),"")</f>
        <v/>
      </c>
      <c r="T76" s="105" t="str">
        <f>IF(S76=0,IFERROR(LEFT(R76,VLOOKUP($H76,ELENCHI!$BG$24:$CB$123,5,FALSE)-VLOOKUP($H76,ELENCHI!$BG$24:$CB$123,10,FALSE))&amp;IF(VLOOKUP($H76,ELENCHI!$BG$24:$CB$123,10,FALSE)=0,"",",")&amp;RIGHT(R76,VLOOKUP($H76,ELENCHI!$BG$24:$CB$123,10,FALSE)),""),"!!!")</f>
        <v>!!!</v>
      </c>
      <c r="U76" s="2" t="str">
        <f t="shared" si="95"/>
        <v/>
      </c>
      <c r="V76" s="2" t="str">
        <f>IF(LEFT($F76,1)="*",IF(VLOOKUP($H76,ELENCHI!$BG$24:$BO$123,6,FALSE)=LEN(U76),0,1),"")</f>
        <v/>
      </c>
      <c r="W76" s="2" t="str">
        <f>IF(V76=0,IFERROR(LEFT(U76,VLOOKUP($H76,ELENCHI!$BG$24:$CB$123,6,FALSE)-VLOOKUP($H76,ELENCHI!$BG$24:$CB$123,11,FALSE))&amp;IF(VLOOKUP($H76,ELENCHI!$BG$24:$CB$123,11,FALSE)=0,"",",")&amp;RIGHT(U76,VLOOKUP($H76,ELENCHI!$BG$24:$CB$123,11,FALSE)),""),"!!!")</f>
        <v>!!!</v>
      </c>
      <c r="X76" s="105" t="str">
        <f t="shared" si="96"/>
        <v/>
      </c>
      <c r="Y76" s="105" t="str">
        <f>IF(LEFT($F76,1)="*",IF(VLOOKUP($H76,ELENCHI!$BG$24:$BO$123,7,FALSE)=LEN(X76),0,1),"")</f>
        <v/>
      </c>
      <c r="Z76" s="105" t="str">
        <f>IF(Y76=0,IFERROR(LEFT(X76,VLOOKUP($H76,ELENCHI!$BG$24:$CB$123,7,FALSE)-VLOOKUP($H76,ELENCHI!$BG$24:$CB$123,12,FALSE))&amp;IF(VLOOKUP($H76,ELENCHI!$BG$24:$CB$123,12,FALSE)=0,"",",")&amp;RIGHT(X76,VLOOKUP($H76,ELENCHI!$BG$24:$CB$123,12,FALSE)),""),"!!!")</f>
        <v>!!!</v>
      </c>
      <c r="AA76" s="113" t="str">
        <f t="shared" si="97"/>
        <v/>
      </c>
      <c r="AB76" s="113" t="str">
        <f>IF(LEFT($F76,1)="*",IF(VLOOKUP($H76,ELENCHI!$BG$24:$BO$123,8,FALSE)=LEN(AA76),0,1),"")</f>
        <v/>
      </c>
      <c r="AC76" s="113" t="str">
        <f>IF(AB76=0,IFERROR(LEFT(AA76,VLOOKUP($H76,ELENCHI!$BG$24:$CB$123,8,FALSE)-VLOOKUP($H76,ELENCHI!$BG$24:$CB$123,13,FALSE))&amp;IF(VLOOKUP($H76,ELENCHI!$BG$24:$CB$123,13,FALSE)=0,"",",")&amp;RIGHT(AA76,VLOOKUP($H76,ELENCHI!$BG$24:$CB$123,13,FALSE)),""),"!!!")</f>
        <v>!!!</v>
      </c>
      <c r="AD76" s="105" t="str">
        <f t="shared" si="98"/>
        <v/>
      </c>
      <c r="AE76" s="105" t="str">
        <f>IF(LEFT($F76,1)="*",IF(VLOOKUP($H76,ELENCHI!$BG$24:$BO$123,9,FALSE)=LEN(AD76),0,1),"")</f>
        <v/>
      </c>
      <c r="AF76" s="105" t="str">
        <f>IF(AE76=0,IFERROR(LEFT(AD76,VLOOKUP($H76,ELENCHI!$BG$24:$CB$123,9,FALSE)-VLOOKUP($H76,ELENCHI!$BG$24:$CB$123,14,FALSE))&amp;IF(VLOOKUP($H76,ELENCHI!$BG$24:$CB$123,14,FALSE)=0,"",",")&amp;RIGHT(AD76,VLOOKUP($H76,ELENCHI!$BG$24:$CB$123,14,FALSE)),""),"!!!")</f>
        <v>!!!</v>
      </c>
      <c r="AG76" s="117">
        <f t="shared" si="99"/>
        <v>0</v>
      </c>
      <c r="AH76" s="2" t="str">
        <f>AM75&amp;IF(H76&lt;&gt;0,VLOOKUP($H76,ELENCHI!$BG$24:$CB$123,16,FALSE)&amp;T76&amp;VLOOKUP($H76,ELENCHI!$BG$24:$CB$123,17,FALSE)&amp;W76&amp;VLOOKUP($H76,ELENCHI!$BG$24:$CB$123,18,FALSE)&amp;Z76&amp;VLOOKUP($H76,ELENCHI!$BG$24:$CB$123,19,FALSE)&amp;AC76&amp;VLOOKUP($H76,ELENCHI!$BG$24:$CB$123,20,FALSE)&amp;AF76&amp;CHAR(10),I76&amp;IF(IFERROR(FIND(CHAR(10),LEFT(B76,LUNGH),1),0)&gt;0,CHAR(10),""))</f>
        <v/>
      </c>
      <c r="AI76" s="3" t="str">
        <f t="shared" si="100"/>
        <v xml:space="preserve"> </v>
      </c>
      <c r="AJ76" s="3">
        <f t="shared" si="101"/>
        <v>999</v>
      </c>
      <c r="AK76" s="3">
        <f t="shared" si="102"/>
        <v>999</v>
      </c>
      <c r="AL76" s="114" t="str">
        <f t="shared" si="93"/>
        <v xml:space="preserve">                                                     </v>
      </c>
      <c r="AM76" s="20" t="str">
        <f t="shared" si="94"/>
        <v/>
      </c>
      <c r="AN76" s="2">
        <f t="shared" si="103"/>
        <v>8</v>
      </c>
      <c r="AO76" s="462" t="str">
        <f t="shared" si="104"/>
        <v xml:space="preserve">                                                     </v>
      </c>
      <c r="AP76" s="462" t="str">
        <f t="shared" si="105"/>
        <v xml:space="preserve">8                                                            
</v>
      </c>
    </row>
    <row r="77" spans="1:42" x14ac:dyDescent="0.25">
      <c r="A77" s="117">
        <f>IF(NUMRD+(ROW()-ROW($A$68))+SUM(STRINGA!$I$8:$M$8)&lt;=NUMRD*2+NUMRDJ,ROW()-ROW($A$68),"")</f>
        <v>9</v>
      </c>
      <c r="B77" s="145" t="str">
        <f t="shared" si="81"/>
        <v/>
      </c>
      <c r="C77" s="482" t="str">
        <f t="shared" si="82"/>
        <v xml:space="preserve"> </v>
      </c>
      <c r="D77" s="146">
        <f t="shared" si="83"/>
        <v>999</v>
      </c>
      <c r="E77" s="146">
        <f t="shared" si="84"/>
        <v>999</v>
      </c>
      <c r="F77" s="144" t="str">
        <f t="shared" si="85"/>
        <v xml:space="preserve">                                                     </v>
      </c>
      <c r="G77" s="147" t="str">
        <f t="shared" si="86"/>
        <v/>
      </c>
      <c r="H77" s="146">
        <f t="shared" si="87"/>
        <v>0</v>
      </c>
      <c r="I77" s="143" t="str">
        <f>CLEAN(LEFT(LEFT(CLEAN(B77),MIN(D77,E77)),LUNGH))</f>
        <v/>
      </c>
      <c r="K77" s="4"/>
      <c r="AF77" s="437" t="s">
        <v>803</v>
      </c>
      <c r="AG77" s="423">
        <f>SUM(AG69:AG76)</f>
        <v>0</v>
      </c>
      <c r="AH77" s="2" t="str">
        <f>AM76&amp;IF(H77&lt;&gt;0,VLOOKUP($H77,ELENCHI!$BG$24:$CB$123,16,FALSE)&amp;T77&amp;VLOOKUP($H77,ELENCHI!$BG$24:$CB$123,17,FALSE)&amp;W77&amp;VLOOKUP($H77,ELENCHI!$BG$24:$CB$123,18,FALSE)&amp;Z77&amp;VLOOKUP($H77,ELENCHI!$BG$24:$CB$123,19,FALSE)&amp;AC77&amp;VLOOKUP($H77,ELENCHI!$BG$24:$CB$123,20,FALSE)&amp;AF77&amp;CHAR(10),I77&amp;IF(IFERROR(FIND(CHAR(10),LEFT(B77,LUNGH),1),0)&gt;0,CHAR(10),""))</f>
        <v/>
      </c>
      <c r="AI77" s="3" t="str">
        <f t="shared" si="100"/>
        <v xml:space="preserve"> </v>
      </c>
      <c r="AJ77" s="3">
        <f t="shared" si="101"/>
        <v>999</v>
      </c>
      <c r="AK77" s="3">
        <f t="shared" si="102"/>
        <v>999</v>
      </c>
      <c r="AL77" s="114" t="str">
        <f t="shared" si="93"/>
        <v xml:space="preserve">                                                     </v>
      </c>
      <c r="AM77" s="20" t="str">
        <f t="shared" si="94"/>
        <v/>
      </c>
      <c r="AN77" s="463" t="s">
        <v>778</v>
      </c>
      <c r="AO77" s="463"/>
      <c r="AP77" s="463"/>
    </row>
    <row r="78" spans="1:42" x14ac:dyDescent="0.25">
      <c r="A78" s="485" t="s">
        <v>778</v>
      </c>
      <c r="B78" s="486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AF78" s="613" t="s">
        <v>804</v>
      </c>
      <c r="AG78" s="611" t="str">
        <f>IFERROR(IF(AG77&gt;0,": ERRORE, LUNGHEZZA DATI ASTERISCATA","                                    "),":   ERRORE, ASTERISCATA NON IN ELENCO O ERRATA")</f>
        <v xml:space="preserve">                                    </v>
      </c>
      <c r="AH78" s="2" t="str">
        <f>AM77&amp;IF(H78&lt;&gt;0,VLOOKUP($H78,ELENCHI!$BG$24:$CB$123,16,FALSE)&amp;T78&amp;VLOOKUP($H78,ELENCHI!$BG$24:$CB$123,17,FALSE)&amp;W78&amp;VLOOKUP($H78,ELENCHI!$BG$24:$CB$123,18,FALSE)&amp;Z78&amp;VLOOKUP($H78,ELENCHI!$BG$24:$CB$123,19,FALSE)&amp;AC78&amp;VLOOKUP($H78,ELENCHI!$BG$24:$CB$123,20,FALSE)&amp;AF78&amp;CHAR(10),I78&amp;IF(IFERROR(FIND(CHAR(10),LEFT(B78,LUNGH),1),0)&gt;0,CHAR(10),""))</f>
        <v/>
      </c>
      <c r="AI78" s="3" t="str">
        <f t="shared" si="100"/>
        <v xml:space="preserve"> </v>
      </c>
      <c r="AJ78" s="3">
        <f t="shared" si="101"/>
        <v>999</v>
      </c>
      <c r="AK78" s="3">
        <f t="shared" si="102"/>
        <v>999</v>
      </c>
      <c r="AL78" s="114" t="str">
        <f t="shared" si="93"/>
        <v xml:space="preserve">                                                     </v>
      </c>
      <c r="AM78" s="20" t="str">
        <f t="shared" si="94"/>
        <v/>
      </c>
      <c r="AN78" s="608" t="str">
        <f>CONCATENATE(AP69,AP70,AP71,AP72,AP73,AP74,AP75,AP76,)</f>
        <v xml:space="preserve">1                                                            
2                                                            
3                                                            
4                                                            
5                                                            
6                                                            
7                                                            
8                                                            
</v>
      </c>
      <c r="AO78" s="608"/>
      <c r="AP78" s="608"/>
    </row>
    <row r="79" spans="1:42" ht="39.75" customHeight="1" x14ac:dyDescent="0.25">
      <c r="A79" s="629" t="str">
        <f>CONCATENATE(F69,F70,F71,F72,F73,F74,F75,F76)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79" s="630"/>
      <c r="C79" s="444"/>
      <c r="D79" s="444"/>
      <c r="E79" s="444"/>
      <c r="F79" s="444"/>
      <c r="G79" s="444"/>
      <c r="H79" s="444"/>
      <c r="I79" s="444"/>
      <c r="J79" s="444"/>
      <c r="K79" s="425"/>
      <c r="L79" s="8"/>
      <c r="M79" s="8"/>
      <c r="N79" s="8"/>
      <c r="O79" s="8"/>
      <c r="P79" s="8"/>
      <c r="Q79" s="8"/>
      <c r="AF79" s="613"/>
      <c r="AG79" s="611"/>
      <c r="AH79" s="2" t="str">
        <f>AM78&amp;IF(H79&lt;&gt;0,VLOOKUP($H79,ELENCHI!$BG$24:$CB$123,16,FALSE)&amp;T79&amp;VLOOKUP($H79,ELENCHI!$BG$24:$CB$123,17,FALSE)&amp;W79&amp;VLOOKUP($H79,ELENCHI!$BG$24:$CB$123,18,FALSE)&amp;Z79&amp;VLOOKUP($H79,ELENCHI!$BG$24:$CB$123,19,FALSE)&amp;AC79&amp;VLOOKUP($H79,ELENCHI!$BG$24:$CB$123,20,FALSE)&amp;AF79&amp;CHAR(10),I79&amp;IF(IFERROR(FIND(CHAR(10),LEFT(B79,LUNGH),1),0)&gt;0,CHAR(10),""))</f>
        <v/>
      </c>
      <c r="AI79" s="3" t="str">
        <f t="shared" si="100"/>
        <v xml:space="preserve"> </v>
      </c>
      <c r="AJ79" s="3">
        <f t="shared" si="101"/>
        <v>999</v>
      </c>
      <c r="AK79" s="3">
        <f t="shared" si="102"/>
        <v>999</v>
      </c>
      <c r="AL79" s="114" t="str">
        <f t="shared" si="93"/>
        <v xml:space="preserve">                                                     </v>
      </c>
      <c r="AM79" s="20" t="str">
        <f t="shared" si="94"/>
        <v/>
      </c>
      <c r="AN79" s="608"/>
      <c r="AO79" s="608"/>
      <c r="AP79" s="608"/>
    </row>
    <row r="80" spans="1:42" ht="38.25" customHeight="1" x14ac:dyDescent="0.25">
      <c r="A80" s="631"/>
      <c r="B80" s="632"/>
      <c r="K80" s="4"/>
      <c r="AF80" s="609" t="s">
        <v>805</v>
      </c>
      <c r="AG80" s="610"/>
      <c r="AH80" s="428" t="str">
        <f>CONCATENATE(AL69,AL70,AL71,AL72,AL73,AL74,AL75,AL76,AL77,AL78,AL79)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I80" s="439"/>
      <c r="AJ80" s="439"/>
      <c r="AK80" s="439"/>
      <c r="AL80" s="439"/>
      <c r="AM80" s="439"/>
      <c r="AN80" s="608"/>
      <c r="AO80" s="608"/>
      <c r="AP80" s="608"/>
    </row>
    <row r="81" spans="11:11" ht="38.25" customHeight="1" x14ac:dyDescent="0.3">
      <c r="K81" s="115"/>
    </row>
  </sheetData>
  <sheetProtection password="F972" sheet="1" objects="1" scenarios="1" selectLockedCells="1" selectUnlockedCells="1"/>
  <mergeCells count="40">
    <mergeCell ref="C66:E66"/>
    <mergeCell ref="A79:B80"/>
    <mergeCell ref="C6:E6"/>
    <mergeCell ref="C26:E26"/>
    <mergeCell ref="A19:B20"/>
    <mergeCell ref="A39:B40"/>
    <mergeCell ref="A59:B60"/>
    <mergeCell ref="C46:E46"/>
    <mergeCell ref="A64:B64"/>
    <mergeCell ref="A44:B44"/>
    <mergeCell ref="A24:B24"/>
    <mergeCell ref="A4:B4"/>
    <mergeCell ref="AI6:AK6"/>
    <mergeCell ref="K26:Q26"/>
    <mergeCell ref="R26:AF26"/>
    <mergeCell ref="AI26:AK26"/>
    <mergeCell ref="AF18:AF19"/>
    <mergeCell ref="AG18:AG19"/>
    <mergeCell ref="AF20:AG20"/>
    <mergeCell ref="K6:Q6"/>
    <mergeCell ref="R6:AF6"/>
    <mergeCell ref="K66:Q66"/>
    <mergeCell ref="R66:AF66"/>
    <mergeCell ref="AF38:AF39"/>
    <mergeCell ref="K46:Q46"/>
    <mergeCell ref="R46:AF46"/>
    <mergeCell ref="AN18:AP20"/>
    <mergeCell ref="AN38:AP40"/>
    <mergeCell ref="AN58:AP60"/>
    <mergeCell ref="AF60:AG60"/>
    <mergeCell ref="AF78:AF79"/>
    <mergeCell ref="AG78:AG79"/>
    <mergeCell ref="AG38:AG39"/>
    <mergeCell ref="AN78:AP80"/>
    <mergeCell ref="AI66:AK66"/>
    <mergeCell ref="AI46:AK46"/>
    <mergeCell ref="AF40:AG40"/>
    <mergeCell ref="AF58:AF59"/>
    <mergeCell ref="AG58:AG59"/>
    <mergeCell ref="AF80:AG80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0" id="{37092EDB-1AC6-43F8-8314-26B1F1CF23C1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AG9:AG16</xm:sqref>
        </x14:conditionalFormatting>
        <x14:conditionalFormatting xmlns:xm="http://schemas.microsoft.com/office/excel/2006/main">
          <x14:cfRule type="iconSet" priority="81" id="{0E6CE932-3D99-46A9-AC32-0638B63428D6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S9:S16 V9:V16 Y9:Y16 AB9:AB16 AE9:AE16</xm:sqref>
        </x14:conditionalFormatting>
        <x14:conditionalFormatting xmlns:xm="http://schemas.microsoft.com/office/excel/2006/main">
          <x14:cfRule type="iconSet" priority="82" id="{3F059C4B-F749-470B-A32F-1136FF409194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AG29:AG36</xm:sqref>
        </x14:conditionalFormatting>
        <x14:conditionalFormatting xmlns:xm="http://schemas.microsoft.com/office/excel/2006/main">
          <x14:cfRule type="iconSet" priority="83" id="{919FA86E-6E4C-4DF7-B7B9-0CC94CEFE54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S29:S36 V29:V36 Y29:Y36 AB29:AB36 AE29:AE36</xm:sqref>
        </x14:conditionalFormatting>
        <x14:conditionalFormatting xmlns:xm="http://schemas.microsoft.com/office/excel/2006/main">
          <x14:cfRule type="iconSet" priority="84" id="{5F0127E9-4C7B-416E-BD08-35EB955253C6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AG49:AG56</xm:sqref>
        </x14:conditionalFormatting>
        <x14:conditionalFormatting xmlns:xm="http://schemas.microsoft.com/office/excel/2006/main">
          <x14:cfRule type="iconSet" priority="85" id="{139F04F1-42C9-40A4-A008-55981C478AA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S49:S56 V49:V56 Y49:Y56 AB49:AB56 AE49:AE56</xm:sqref>
        </x14:conditionalFormatting>
        <x14:conditionalFormatting xmlns:xm="http://schemas.microsoft.com/office/excel/2006/main">
          <x14:cfRule type="iconSet" priority="86" id="{22B7979C-C0EE-4765-B7D8-E9A211862B39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AG69:AG76</xm:sqref>
        </x14:conditionalFormatting>
        <x14:conditionalFormatting xmlns:xm="http://schemas.microsoft.com/office/excel/2006/main">
          <x14:cfRule type="iconSet" priority="87" id="{5D80B198-3383-4EFD-AB2A-582148E60732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S69:S76 V69:V76 Y69:Y76 AB69:AB76 AE69:AE76</xm:sqref>
        </x14:conditionalFormatting>
        <x14:conditionalFormatting xmlns:xm="http://schemas.microsoft.com/office/excel/2006/main">
          <x14:cfRule type="iconSet" priority="4" id="{9935C995-DC81-4E40-A6B9-4AA84671FA7D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AG18</xm:sqref>
        </x14:conditionalFormatting>
        <x14:conditionalFormatting xmlns:xm="http://schemas.microsoft.com/office/excel/2006/main">
          <x14:cfRule type="iconSet" priority="3" id="{2AC2B2F7-7B05-4743-BF34-E3FD661B631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AG38</xm:sqref>
        </x14:conditionalFormatting>
        <x14:conditionalFormatting xmlns:xm="http://schemas.microsoft.com/office/excel/2006/main">
          <x14:cfRule type="iconSet" priority="2" id="{3F2E944B-B1F5-4688-95FF-499CE4BFBBDE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AG58</xm:sqref>
        </x14:conditionalFormatting>
        <x14:conditionalFormatting xmlns:xm="http://schemas.microsoft.com/office/excel/2006/main">
          <x14:cfRule type="iconSet" priority="1" id="{CF156A9D-E7B7-43F4-AEDC-C2A097D39BAE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AG78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1"/>
  </sheetPr>
  <dimension ref="A1:M48"/>
  <sheetViews>
    <sheetView workbookViewId="0">
      <selection activeCell="B6" sqref="B6"/>
    </sheetView>
  </sheetViews>
  <sheetFormatPr defaultRowHeight="15" x14ac:dyDescent="0.25"/>
  <cols>
    <col min="1" max="1" width="33.85546875" customWidth="1"/>
    <col min="2" max="2" width="19" customWidth="1"/>
    <col min="3" max="3" width="52.7109375" customWidth="1"/>
    <col min="4" max="4" width="66.85546875" customWidth="1"/>
  </cols>
  <sheetData>
    <row r="1" spans="1:13" ht="19.5" thickBot="1" x14ac:dyDescent="0.35">
      <c r="A1" s="89" t="s">
        <v>810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3" spans="1:13" ht="15.75" thickBot="1" x14ac:dyDescent="0.3">
      <c r="A3" s="23" t="s">
        <v>811</v>
      </c>
      <c r="B3" s="71" t="s">
        <v>812</v>
      </c>
    </row>
    <row r="4" spans="1:13" x14ac:dyDescent="0.25">
      <c r="A4" s="1" t="s">
        <v>813</v>
      </c>
      <c r="B4" s="69" t="s">
        <v>814</v>
      </c>
    </row>
    <row r="5" spans="1:13" x14ac:dyDescent="0.25">
      <c r="A5" s="1" t="s">
        <v>815</v>
      </c>
      <c r="B5" s="69" t="s">
        <v>880</v>
      </c>
    </row>
    <row r="6" spans="1:13" x14ac:dyDescent="0.25">
      <c r="A6" s="1" t="s">
        <v>816</v>
      </c>
      <c r="B6" s="1" t="s">
        <v>817</v>
      </c>
      <c r="C6" s="1"/>
      <c r="D6" s="1"/>
      <c r="E6" s="1"/>
    </row>
    <row r="7" spans="1:13" x14ac:dyDescent="0.25">
      <c r="A7" s="1" t="s">
        <v>818</v>
      </c>
      <c r="B7" s="1" t="s">
        <v>819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9" spans="1:13" ht="15.75" thickBot="1" x14ac:dyDescent="0.3">
      <c r="A9" s="23" t="s">
        <v>820</v>
      </c>
      <c r="B9" s="71" t="s">
        <v>812</v>
      </c>
      <c r="C9" s="71" t="s">
        <v>821</v>
      </c>
    </row>
    <row r="10" spans="1:13" x14ac:dyDescent="0.25">
      <c r="A10" s="1" t="s">
        <v>822</v>
      </c>
      <c r="B10" s="69">
        <v>53</v>
      </c>
      <c r="C10" s="69" t="s">
        <v>823</v>
      </c>
    </row>
    <row r="11" spans="1:13" x14ac:dyDescent="0.25">
      <c r="A11" s="1" t="s">
        <v>824</v>
      </c>
      <c r="B11" s="69">
        <v>8</v>
      </c>
      <c r="C11" s="69" t="s">
        <v>825</v>
      </c>
    </row>
    <row r="12" spans="1:13" x14ac:dyDescent="0.25">
      <c r="A12" s="1" t="s">
        <v>826</v>
      </c>
      <c r="B12" s="69">
        <v>3</v>
      </c>
      <c r="C12" s="69" t="s">
        <v>827</v>
      </c>
    </row>
    <row r="13" spans="1:13" x14ac:dyDescent="0.25">
      <c r="A13" s="65" t="s">
        <v>828</v>
      </c>
      <c r="B13" s="70" t="str">
        <f>REPT(" ",LUNGH)</f>
        <v xml:space="preserve">                                                     </v>
      </c>
      <c r="C13" s="70" t="s">
        <v>829</v>
      </c>
    </row>
    <row r="14" spans="1:13" x14ac:dyDescent="0.25">
      <c r="A14" s="65"/>
      <c r="B14" s="70"/>
      <c r="C14" s="70"/>
    </row>
    <row r="15" spans="1:13" ht="15.75" thickBot="1" x14ac:dyDescent="0.3">
      <c r="A15" s="23" t="s">
        <v>830</v>
      </c>
      <c r="B15" s="71" t="s">
        <v>812</v>
      </c>
      <c r="C15" s="71" t="s">
        <v>821</v>
      </c>
    </row>
    <row r="16" spans="1:13" x14ac:dyDescent="0.25">
      <c r="A16" s="65" t="s">
        <v>831</v>
      </c>
      <c r="B16" s="70">
        <v>65</v>
      </c>
      <c r="C16" s="70" t="s">
        <v>832</v>
      </c>
    </row>
    <row r="17" spans="1:4" x14ac:dyDescent="0.25">
      <c r="A17" s="65" t="s">
        <v>833</v>
      </c>
      <c r="B17" s="70" t="str">
        <f>REPT("0",MAX_CAMPO)</f>
        <v>00000000000000000000000000000000000000000000000000000000000000000</v>
      </c>
      <c r="C17" s="70" t="s">
        <v>834</v>
      </c>
    </row>
    <row r="18" spans="1:4" x14ac:dyDescent="0.25">
      <c r="A18" s="65" t="s">
        <v>833</v>
      </c>
      <c r="B18" s="70" t="str">
        <f>REPT(" ",MAX_CAMPO)</f>
        <v xml:space="preserve">                                                                 </v>
      </c>
      <c r="C18" s="70" t="s">
        <v>835</v>
      </c>
    </row>
    <row r="19" spans="1:4" x14ac:dyDescent="0.25">
      <c r="B19" s="4"/>
      <c r="C19" s="4"/>
    </row>
    <row r="20" spans="1:4" ht="15.75" thickBot="1" x14ac:dyDescent="0.3">
      <c r="A20" s="23" t="s">
        <v>836</v>
      </c>
      <c r="B20" s="71" t="s">
        <v>812</v>
      </c>
      <c r="C20" s="4"/>
    </row>
    <row r="21" spans="1:4" x14ac:dyDescent="0.25">
      <c r="A21" s="22" t="s">
        <v>837</v>
      </c>
      <c r="B21" s="84"/>
      <c r="C21" s="4"/>
    </row>
    <row r="22" spans="1:4" x14ac:dyDescent="0.25">
      <c r="A22" s="21" t="s">
        <v>838</v>
      </c>
      <c r="B22" s="69">
        <v>4</v>
      </c>
      <c r="C22" s="4"/>
    </row>
    <row r="23" spans="1:4" x14ac:dyDescent="0.25">
      <c r="A23" s="22" t="s">
        <v>839</v>
      </c>
      <c r="B23" s="84"/>
      <c r="C23" s="4"/>
    </row>
    <row r="24" spans="1:4" x14ac:dyDescent="0.25">
      <c r="A24" s="1" t="s">
        <v>840</v>
      </c>
      <c r="B24" s="69">
        <v>1</v>
      </c>
      <c r="C24" s="4"/>
    </row>
    <row r="26" spans="1:4" ht="15.75" thickBot="1" x14ac:dyDescent="0.3">
      <c r="A26" s="23" t="s">
        <v>841</v>
      </c>
      <c r="B26" s="71" t="s">
        <v>812</v>
      </c>
      <c r="C26" s="71" t="s">
        <v>778</v>
      </c>
      <c r="D26" s="71" t="s">
        <v>842</v>
      </c>
    </row>
    <row r="27" spans="1:4" x14ac:dyDescent="0.25">
      <c r="A27" s="22" t="s">
        <v>843</v>
      </c>
      <c r="B27" s="84"/>
      <c r="C27" s="84"/>
      <c r="D27" s="84"/>
    </row>
    <row r="28" spans="1:4" x14ac:dyDescent="0.25">
      <c r="A28" t="s">
        <v>844</v>
      </c>
      <c r="B28" s="4" t="s">
        <v>845</v>
      </c>
      <c r="C28" s="4" t="s">
        <v>846</v>
      </c>
    </row>
    <row r="29" spans="1:4" x14ac:dyDescent="0.25">
      <c r="A29" t="s">
        <v>847</v>
      </c>
      <c r="B29" s="4" t="s">
        <v>845</v>
      </c>
      <c r="C29" s="4" t="s">
        <v>848</v>
      </c>
    </row>
    <row r="30" spans="1:4" x14ac:dyDescent="0.25">
      <c r="A30" t="s">
        <v>849</v>
      </c>
      <c r="B30" s="4" t="s">
        <v>845</v>
      </c>
      <c r="C30" s="4" t="s">
        <v>848</v>
      </c>
    </row>
    <row r="31" spans="1:4" x14ac:dyDescent="0.25">
      <c r="A31" t="s">
        <v>850</v>
      </c>
      <c r="B31" s="4" t="s">
        <v>845</v>
      </c>
      <c r="C31" s="4" t="s">
        <v>851</v>
      </c>
    </row>
    <row r="32" spans="1:4" x14ac:dyDescent="0.25">
      <c r="A32" t="s">
        <v>852</v>
      </c>
      <c r="B32" s="4" t="s">
        <v>853</v>
      </c>
      <c r="C32" s="4" t="s">
        <v>854</v>
      </c>
    </row>
    <row r="33" spans="1:13" x14ac:dyDescent="0.25">
      <c r="A33" t="s">
        <v>855</v>
      </c>
      <c r="B33" s="4" t="s">
        <v>853</v>
      </c>
      <c r="C33" s="4" t="s">
        <v>848</v>
      </c>
      <c r="D33" t="s">
        <v>856</v>
      </c>
    </row>
    <row r="34" spans="1:13" x14ac:dyDescent="0.25">
      <c r="A34" t="s">
        <v>857</v>
      </c>
      <c r="B34" s="4" t="s">
        <v>853</v>
      </c>
      <c r="C34" s="4" t="s">
        <v>848</v>
      </c>
      <c r="D34" t="s">
        <v>858</v>
      </c>
    </row>
    <row r="36" spans="1:13" x14ac:dyDescent="0.25">
      <c r="A36" s="72" t="s">
        <v>195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1:13" x14ac:dyDescent="0.25">
      <c r="A37" s="85" t="s">
        <v>859</v>
      </c>
      <c r="B37" s="87" t="s">
        <v>860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5">
      <c r="A38" s="86">
        <f>IF(ROW()-ROW($A$38)+1&lt;=IMPOSTAZIONI!$B$22,ROW()-ROW($A$38)+1,"")</f>
        <v>1</v>
      </c>
      <c r="B38" s="88" t="str">
        <f ca="1">IF(A38&lt;&gt;"",A38&amp;" - "&amp;INDIRECT("STRINGA!A"&amp;A38+IMPOSTAZIONI!$B$24)," ")</f>
        <v>1 - BCS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86">
        <f>IF(ROW()-ROW($A$38)+1&lt;=IMPOSTAZIONI!$B$22,ROW()-ROW($A$38)+1,"")</f>
        <v>2</v>
      </c>
      <c r="B39" s="88" t="str">
        <f ca="1">IF(A39&lt;&gt;"",A39&amp;" - "&amp;INDIRECT("STRINGA!A"&amp;A39+IMPOSTAZIONI!$B$24)," ")</f>
        <v>2 - Veicolo 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86">
        <f>IF(ROW()-ROW($A$38)+1&lt;=IMPOSTAZIONI!$B$22,ROW()-ROW($A$38)+1,"")</f>
        <v>3</v>
      </c>
      <c r="B40" s="88" t="str">
        <f ca="1">IF(A40&lt;&gt;"",A40&amp;" - "&amp;INDIRECT("STRINGA!A"&amp;A40+IMPOSTAZIONI!$B$24)," ")</f>
        <v>3 - Veicolo 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86">
        <f>IF(ROW()-ROW($A$38)+1&lt;=IMPOSTAZIONI!$B$22,ROW()-ROW($A$38)+1,"")</f>
        <v>4</v>
      </c>
      <c r="B41" s="88" t="str">
        <f ca="1">IF(A41&lt;&gt;"",A41&amp;" - "&amp;INDIRECT("STRINGA!A"&amp;A41+IMPOSTAZIONI!$B$24)," ")</f>
        <v>4 - Veicolo 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86" t="str">
        <f>IF(ROW()-ROW($A$38)+1&lt;=IMPOSTAZIONI!$B$22,ROW()-ROW($A$38)+1,"")</f>
        <v/>
      </c>
      <c r="B42" s="88" t="str">
        <f ca="1">IF(A42&lt;&gt;"",A42&amp;" - "&amp;INDIRECT("STRINGA!A"&amp;A42+IMPOSTAZIONI!$B$24)," ")</f>
        <v xml:space="preserve"> 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86" t="str">
        <f>IF(ROW()-ROW($A$38)+1&lt;=IMPOSTAZIONI!$B$22,ROW()-ROW($A$38)+1,"")</f>
        <v/>
      </c>
      <c r="B43" s="88" t="str">
        <f ca="1">IF(A43&lt;&gt;"",A43&amp;" - "&amp;INDIRECT("STRINGA!A"&amp;A43+IMPOSTAZIONI!$B$24)," ")</f>
        <v xml:space="preserve"> 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86" t="str">
        <f>IF(ROW()-ROW($A$38)+1&lt;=IMPOSTAZIONI!$B$22,ROW()-ROW($A$38)+1,"")</f>
        <v/>
      </c>
      <c r="B44" s="88" t="str">
        <f ca="1">IF(A44&lt;&gt;"",A44&amp;" - "&amp;INDIRECT("STRINGA!A"&amp;A44+IMPOSTAZIONI!$B$24)," ")</f>
        <v xml:space="preserve"> 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86" t="str">
        <f>IF(ROW()-ROW($A$38)+1&lt;=IMPOSTAZIONI!$B$22,ROW()-ROW($A$38)+1,"")</f>
        <v/>
      </c>
      <c r="B45" s="88" t="str">
        <f ca="1">IF(A45&lt;&gt;"",A45&amp;" - "&amp;INDIRECT("STRINGA!A"&amp;A45+IMPOSTAZIONI!$B$24)," ")</f>
        <v xml:space="preserve"> 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86" t="str">
        <f>IF(ROW()-ROW($A$38)+1&lt;=IMPOSTAZIONI!$B$22,ROW()-ROW($A$38)+1,"")</f>
        <v/>
      </c>
      <c r="B46" s="88" t="str">
        <f ca="1">IF(A46&lt;&gt;"",A46&amp;" - "&amp;INDIRECT("STRINGA!A"&amp;A46+IMPOSTAZIONI!$B$24)," ")</f>
        <v xml:space="preserve"> 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86" t="str">
        <f>IF(ROW()-ROW($A$38)+1&lt;=IMPOSTAZIONI!$B$22,ROW()-ROW($A$38)+1,"")</f>
        <v/>
      </c>
      <c r="B47" s="88" t="str">
        <f ca="1">IF(A47&lt;&gt;"",A47&amp;" - "&amp;INDIRECT("STRINGA!A"&amp;A47+IMPOSTAZIONI!$B$24)," ")</f>
        <v xml:space="preserve"> 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86" t="str">
        <f>IF(ROW()-ROW($A$38)+1&lt;=IMPOSTAZIONI!$B$22,ROW()-ROW($A$38)+1,"")</f>
        <v/>
      </c>
      <c r="B48" s="88" t="str">
        <f ca="1">IF(A48&lt;&gt;"",A48&amp;" - "&amp;INDIRECT("STRINGA!A"&amp;A48+IMPOSTAZIONI!$B$24)," ")</f>
        <v xml:space="preserve"> 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</sheetData>
  <sheetProtection password="F972" sheet="1" objects="1" scenarios="1" selectLockedCells="1" selectUnlockedCell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BCBE584767D44A9B1A8E6F99485C1E" ma:contentTypeVersion="7" ma:contentTypeDescription="Creare un nuovo documento." ma:contentTypeScope="" ma:versionID="b17045cdf391e365ea440f034d2e0f76">
  <xsd:schema xmlns:xsd="http://www.w3.org/2001/XMLSchema" xmlns:xs="http://www.w3.org/2001/XMLSchema" xmlns:p="http://schemas.microsoft.com/office/2006/metadata/properties" xmlns:ns2="fba18ccf-2b99-4b01-a7a4-655be1750a6d" targetNamespace="http://schemas.microsoft.com/office/2006/metadata/properties" ma:root="true" ma:fieldsID="e5e84dfd989e275ab1f824055f8c8cf6" ns2:_="">
    <xsd:import namespace="fba18ccf-2b99-4b01-a7a4-655be1750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18ccf-2b99-4b01-a7a4-655be1750a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3F09F-8C89-416B-B85E-ADE6ECB6A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18ccf-2b99-4b01-a7a4-655be1750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C6599-E675-49AB-BA13-AFFF80E257F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fba18ccf-2b99-4b01-a7a4-655be1750a6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22098F-6EBA-42AB-8F63-CF3CEE3315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31</vt:i4>
      </vt:variant>
    </vt:vector>
  </HeadingPairs>
  <TitlesOfParts>
    <vt:vector size="40" baseType="lpstr">
      <vt:lpstr>ISTRUZIONI</vt:lpstr>
      <vt:lpstr>INSERIMENTO</vt:lpstr>
      <vt:lpstr>ANTEPRIMA</vt:lpstr>
      <vt:lpstr>ELENCHI</vt:lpstr>
      <vt:lpstr>OUTPUT</vt:lpstr>
      <vt:lpstr>STRINGA</vt:lpstr>
      <vt:lpstr>descrittive_A</vt:lpstr>
      <vt:lpstr>descrittive_B</vt:lpstr>
      <vt:lpstr>IMPOSTAZIONI</vt:lpstr>
      <vt:lpstr>ALLEGATO_A</vt:lpstr>
      <vt:lpstr>ALLEGATO_B</vt:lpstr>
      <vt:lpstr>ALLEGATO_C</vt:lpstr>
      <vt:lpstr>ALLEGATO_D</vt:lpstr>
      <vt:lpstr>ALLEGATO_E</vt:lpstr>
      <vt:lpstr>ALLEGATO_F</vt:lpstr>
      <vt:lpstr>ASTERISCATE</vt:lpstr>
      <vt:lpstr>AUTORE</vt:lpstr>
      <vt:lpstr>AUTORE_V</vt:lpstr>
      <vt:lpstr>COMBUSTIBILE</vt:lpstr>
      <vt:lpstr>DIRETTIVE_CEE</vt:lpstr>
      <vt:lpstr>FRENI_SERVIZIO</vt:lpstr>
      <vt:lpstr>INDICE</vt:lpstr>
      <vt:lpstr>LUNGH</vt:lpstr>
      <vt:lpstr>M_SPAZI</vt:lpstr>
      <vt:lpstr>M_ZERI</vt:lpstr>
      <vt:lpstr>MAX_CAMPO</vt:lpstr>
      <vt:lpstr>NAZIONALITA</vt:lpstr>
      <vt:lpstr>NOME</vt:lpstr>
      <vt:lpstr>NUMRD</vt:lpstr>
      <vt:lpstr>NUMRDJ</vt:lpstr>
      <vt:lpstr>PNEU_1</vt:lpstr>
      <vt:lpstr>SAGOMA_FERROVIARI</vt:lpstr>
      <vt:lpstr>SAGOMA_FERROVIARIA</vt:lpstr>
      <vt:lpstr>SPAZI</vt:lpstr>
      <vt:lpstr>TEMPI</vt:lpstr>
      <vt:lpstr>TIPI_OMOLOGAZIONE</vt:lpstr>
      <vt:lpstr>TIPO_OPERAZIONE</vt:lpstr>
      <vt:lpstr>TIPO_VEICOLO</vt:lpstr>
      <vt:lpstr>TIPOLOGIA_VEICOLO_TRAINANTE</vt:lpstr>
      <vt:lpstr>VERSIONE</vt:lpstr>
    </vt:vector>
  </TitlesOfParts>
  <Manager/>
  <Company>CPA MI BS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MakingOMMO</dc:title>
  <dc:subject>OMMO</dc:subject>
  <dc:creator>Henry Del Greco;Mattia Luigi Nappi;Luigi Recchini</dc:creator>
  <cp:keywords>inserimento, maccchine agricole, macchine operatrici</cp:keywords>
  <dc:description>Foglio per facilitare la compilazione dei dati per inserimenti OMMO</dc:description>
  <cp:lastModifiedBy>Mattia Luigi Nappi</cp:lastModifiedBy>
  <cp:revision/>
  <cp:lastPrinted>2020-04-23T14:38:45Z</cp:lastPrinted>
  <dcterms:created xsi:type="dcterms:W3CDTF">2018-03-07T10:42:40Z</dcterms:created>
  <dcterms:modified xsi:type="dcterms:W3CDTF">2023-02-22T16:10:10Z</dcterms:modified>
  <cp:category>inserimento, macchine operatrici, macchine agricole</cp:category>
  <cp:contentStatus>Rilasciato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0x010100ECBCBE584767D44A9B1A8E6F99485C1E</vt:lpwstr>
  </property>
</Properties>
</file>